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sbja\OneDrive\Bureau\"/>
    </mc:Choice>
  </mc:AlternateContent>
  <xr:revisionPtr revIDLastSave="0" documentId="13_ncr:1_{2FC05831-1A9B-4F07-B20C-F7F91B5EEAED}" xr6:coauthVersionLast="47" xr6:coauthVersionMax="47" xr10:uidLastSave="{00000000-0000-0000-0000-000000000000}"/>
  <bookViews>
    <workbookView xWindow="-120" yWindow="-120" windowWidth="29040" windowHeight="15720" tabRatio="883" activeTab="3" xr2:uid="{00000000-000D-0000-FFFF-FFFF00000000}"/>
  </bookViews>
  <sheets>
    <sheet name="Budget Général CSBJ 2026" sheetId="15" r:id="rId1"/>
    <sheet name="Trésorerie 2026" sheetId="13" r:id="rId2"/>
    <sheet name="RECAP AG" sheetId="5" r:id="rId3"/>
    <sheet name="Tableau Cotisation 2025-2026" sheetId="12" r:id="rId4"/>
  </sheets>
  <externalReferences>
    <externalReference r:id="rId5"/>
  </externalReferences>
  <definedNames>
    <definedName name="_xlnm.Print_Area" localSheetId="0">'Budget Général CSBJ 2026'!$A$1:$AT$116</definedName>
    <definedName name="_xlnm.Print_Area" localSheetId="2">'RECAP AG'!$A$1:$D$17</definedName>
    <definedName name="_xlnm.Print_Area" localSheetId="1">'Trésorerie 2026'!$A$1:$AA$57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C46" i="13" l="1"/>
  <c r="AU20" i="15"/>
  <c r="AU93" i="15"/>
  <c r="B3" i="5"/>
  <c r="C7" i="5"/>
  <c r="AU106" i="15"/>
  <c r="D3" i="5"/>
  <c r="D5" i="5"/>
  <c r="D6" i="5"/>
  <c r="D7" i="5"/>
  <c r="D11" i="5"/>
  <c r="D12" i="5"/>
  <c r="D13" i="5"/>
  <c r="D14" i="5"/>
  <c r="C12" i="5"/>
  <c r="C4" i="5"/>
  <c r="C5" i="5"/>
  <c r="C6" i="5"/>
  <c r="C11" i="5"/>
  <c r="C13" i="5"/>
  <c r="B15" i="5"/>
  <c r="B14" i="5"/>
  <c r="B13" i="5"/>
  <c r="B12" i="5"/>
  <c r="B11" i="5"/>
  <c r="B7" i="5"/>
  <c r="B6" i="5"/>
  <c r="B5" i="5"/>
  <c r="B4" i="5"/>
  <c r="AU77" i="15" l="1"/>
  <c r="AV10" i="15"/>
  <c r="AU25" i="15"/>
  <c r="AU26" i="15"/>
  <c r="AV103" i="15" l="1"/>
  <c r="C14" i="5" s="1"/>
  <c r="AV109" i="15"/>
  <c r="C15" i="5" s="1"/>
  <c r="AV31" i="15"/>
  <c r="AV55" i="15"/>
  <c r="P55" i="15"/>
  <c r="R55" i="15"/>
  <c r="T55" i="15"/>
  <c r="U68" i="15"/>
  <c r="U72" i="15" s="1"/>
  <c r="V55" i="15"/>
  <c r="X55" i="15"/>
  <c r="Z55" i="15"/>
  <c r="AB55" i="15"/>
  <c r="AD55" i="15"/>
  <c r="AF55" i="15"/>
  <c r="AH55" i="15"/>
  <c r="AI68" i="15"/>
  <c r="AI72" i="15" s="1"/>
  <c r="AJ55" i="15"/>
  <c r="AL55" i="15"/>
  <c r="AN55" i="15"/>
  <c r="AO55" i="15"/>
  <c r="AP55" i="15"/>
  <c r="AQ55" i="15"/>
  <c r="AR55" i="15"/>
  <c r="AT55" i="15"/>
  <c r="AX55" i="15"/>
  <c r="N55" i="15"/>
  <c r="J55" i="15"/>
  <c r="L55" i="15"/>
  <c r="M68" i="15"/>
  <c r="M72" i="15" s="1"/>
  <c r="H55" i="15"/>
  <c r="T63" i="15"/>
  <c r="AO68" i="15"/>
  <c r="AO72" i="15" s="1"/>
  <c r="AW68" i="15"/>
  <c r="AW72" i="15" s="1"/>
  <c r="AZ55" i="15"/>
  <c r="BB55" i="15"/>
  <c r="AY68" i="15"/>
  <c r="AY72" i="15" s="1"/>
  <c r="AU51" i="15"/>
  <c r="AU53" i="15"/>
  <c r="AU5" i="15"/>
  <c r="AU29" i="15"/>
  <c r="BA47" i="15"/>
  <c r="S115" i="15"/>
  <c r="BA113" i="15"/>
  <c r="BB113" i="15" s="1"/>
  <c r="AS113" i="15"/>
  <c r="AT113" i="15" s="1"/>
  <c r="AD113" i="15"/>
  <c r="AF113" i="15" s="1"/>
  <c r="AC113" i="15"/>
  <c r="AE113" i="15" s="1"/>
  <c r="AY111" i="15"/>
  <c r="AY115" i="15" s="1"/>
  <c r="AW111" i="15"/>
  <c r="AW115" i="15" s="1"/>
  <c r="AQ111" i="15"/>
  <c r="AQ115" i="15" s="1"/>
  <c r="AO111" i="15"/>
  <c r="AO115" i="15" s="1"/>
  <c r="AI111" i="15"/>
  <c r="AI115" i="15" s="1"/>
  <c r="AG111" i="15"/>
  <c r="AG115" i="15" s="1"/>
  <c r="AA111" i="15"/>
  <c r="AA115" i="15" s="1"/>
  <c r="Y111" i="15"/>
  <c r="Y115" i="15" s="1"/>
  <c r="U111" i="15"/>
  <c r="U115" i="15" s="1"/>
  <c r="S111" i="15"/>
  <c r="Q111" i="15"/>
  <c r="Q115" i="15" s="1"/>
  <c r="M111" i="15"/>
  <c r="M115" i="15" s="1"/>
  <c r="I111" i="15"/>
  <c r="I115" i="15" s="1"/>
  <c r="G111" i="15"/>
  <c r="G115" i="15" s="1"/>
  <c r="F111" i="15"/>
  <c r="F115" i="15" s="1"/>
  <c r="D111" i="15"/>
  <c r="D115" i="15" s="1"/>
  <c r="C111" i="15"/>
  <c r="C115" i="15" s="1"/>
  <c r="AZ109" i="15"/>
  <c r="AX109" i="15"/>
  <c r="AR109" i="15"/>
  <c r="AP109" i="15"/>
  <c r="AJ109" i="15"/>
  <c r="AH109" i="15"/>
  <c r="AF109" i="15"/>
  <c r="Z109" i="15"/>
  <c r="X109" i="15"/>
  <c r="V109" i="15"/>
  <c r="T109" i="15"/>
  <c r="R109" i="15"/>
  <c r="P109" i="15"/>
  <c r="N109" i="15"/>
  <c r="L109" i="15"/>
  <c r="J109" i="15"/>
  <c r="H109" i="15"/>
  <c r="E109" i="15"/>
  <c r="BA108" i="15"/>
  <c r="AK108" i="15"/>
  <c r="AC108" i="15"/>
  <c r="BA107" i="15"/>
  <c r="AS107" i="15"/>
  <c r="AK107" i="15"/>
  <c r="AC107" i="15"/>
  <c r="BA106" i="15"/>
  <c r="AM106" i="15"/>
  <c r="AN109" i="15" s="1"/>
  <c r="AK106" i="15"/>
  <c r="AC106" i="15"/>
  <c r="BA105" i="15"/>
  <c r="AS105" i="15"/>
  <c r="AT109" i="15" s="1"/>
  <c r="AK105" i="15"/>
  <c r="AC105" i="15"/>
  <c r="AD109" i="15" s="1"/>
  <c r="AZ103" i="15"/>
  <c r="AX103" i="15"/>
  <c r="AR103" i="15"/>
  <c r="AP103" i="15"/>
  <c r="AN103" i="15"/>
  <c r="AJ103" i="15"/>
  <c r="AH103" i="15"/>
  <c r="AF103" i="15"/>
  <c r="AB103" i="15"/>
  <c r="Z103" i="15"/>
  <c r="V103" i="15"/>
  <c r="T103" i="15"/>
  <c r="R103" i="15"/>
  <c r="P103" i="15"/>
  <c r="N103" i="15"/>
  <c r="L103" i="15"/>
  <c r="J103" i="15"/>
  <c r="H103" i="15"/>
  <c r="E103" i="15"/>
  <c r="BA102" i="15"/>
  <c r="AK102" i="15"/>
  <c r="AC102" i="15"/>
  <c r="W102" i="15"/>
  <c r="X103" i="15" s="1"/>
  <c r="BA101" i="15"/>
  <c r="AK101" i="15"/>
  <c r="AC101" i="15"/>
  <c r="BA100" i="15"/>
  <c r="AS100" i="15"/>
  <c r="AK100" i="15"/>
  <c r="AC100" i="15"/>
  <c r="BA99" i="15"/>
  <c r="AS99" i="15"/>
  <c r="AK99" i="15"/>
  <c r="AC99" i="15"/>
  <c r="BA98" i="15"/>
  <c r="AS98" i="15"/>
  <c r="AK98" i="15"/>
  <c r="AC98" i="15"/>
  <c r="AZ96" i="15"/>
  <c r="AX96" i="15"/>
  <c r="AR96" i="15"/>
  <c r="AP96" i="15"/>
  <c r="AJ96" i="15"/>
  <c r="AH96" i="15"/>
  <c r="AB96" i="15"/>
  <c r="Z96" i="15"/>
  <c r="V96" i="15"/>
  <c r="T96" i="15"/>
  <c r="R96" i="15"/>
  <c r="P96" i="15"/>
  <c r="N96" i="15"/>
  <c r="L96" i="15"/>
  <c r="J96" i="15"/>
  <c r="H96" i="15"/>
  <c r="E96" i="15"/>
  <c r="BA95" i="15"/>
  <c r="BA94" i="15"/>
  <c r="AS94" i="15"/>
  <c r="AK94" i="15"/>
  <c r="AC94" i="15"/>
  <c r="BA93" i="15"/>
  <c r="AS93" i="15"/>
  <c r="AM93" i="15"/>
  <c r="AK93" i="15"/>
  <c r="AC93" i="15"/>
  <c r="BA92" i="15"/>
  <c r="AS92" i="15"/>
  <c r="AM92" i="15"/>
  <c r="AK92" i="15"/>
  <c r="AC92" i="15"/>
  <c r="W92" i="15"/>
  <c r="X96" i="15" s="1"/>
  <c r="BA91" i="15"/>
  <c r="AS91" i="15"/>
  <c r="AK91" i="15"/>
  <c r="AC91" i="15"/>
  <c r="BA90" i="15"/>
  <c r="AS90" i="15"/>
  <c r="AK90" i="15"/>
  <c r="AC90" i="15"/>
  <c r="BA89" i="15"/>
  <c r="AS89" i="15"/>
  <c r="AK89" i="15"/>
  <c r="AC89" i="15"/>
  <c r="BA88" i="15"/>
  <c r="AS88" i="15"/>
  <c r="AK88" i="15"/>
  <c r="AC88" i="15"/>
  <c r="BA87" i="15"/>
  <c r="AS87" i="15"/>
  <c r="BA86" i="15"/>
  <c r="AU86" i="15"/>
  <c r="AS86" i="15"/>
  <c r="AM86" i="15"/>
  <c r="AK86" i="15"/>
  <c r="AE86" i="15"/>
  <c r="AF96" i="15" s="1"/>
  <c r="AC86" i="15"/>
  <c r="AZ84" i="15"/>
  <c r="AX84" i="15"/>
  <c r="AR84" i="15"/>
  <c r="AP84" i="15"/>
  <c r="AJ84" i="15"/>
  <c r="AH84" i="15"/>
  <c r="AB84" i="15"/>
  <c r="Z84" i="15"/>
  <c r="V84" i="15"/>
  <c r="T84" i="15"/>
  <c r="R84" i="15"/>
  <c r="R111" i="15" s="1"/>
  <c r="R115" i="15" s="1"/>
  <c r="N84" i="15"/>
  <c r="J84" i="15"/>
  <c r="H84" i="15"/>
  <c r="E84" i="15"/>
  <c r="BA83" i="15"/>
  <c r="AK83" i="15"/>
  <c r="BA82" i="15"/>
  <c r="AS82" i="15"/>
  <c r="AK82" i="15"/>
  <c r="AC82" i="15"/>
  <c r="BA81" i="15"/>
  <c r="AS81" i="15"/>
  <c r="AK81" i="15"/>
  <c r="AC81" i="15"/>
  <c r="BA80" i="15"/>
  <c r="AS80" i="15"/>
  <c r="AM80" i="15"/>
  <c r="AK80" i="15"/>
  <c r="AC80" i="15"/>
  <c r="BA79" i="15"/>
  <c r="AS79" i="15"/>
  <c r="AK79" i="15"/>
  <c r="AC79" i="15"/>
  <c r="W79" i="15"/>
  <c r="X84" i="15" s="1"/>
  <c r="K79" i="15"/>
  <c r="L84" i="15" s="1"/>
  <c r="BA78" i="15"/>
  <c r="AS78" i="15"/>
  <c r="AK78" i="15"/>
  <c r="AC78" i="15"/>
  <c r="BA77" i="15"/>
  <c r="AS77" i="15"/>
  <c r="AM77" i="15"/>
  <c r="AN84" i="15" s="1"/>
  <c r="AK77" i="15"/>
  <c r="AE77" i="15"/>
  <c r="AC77" i="15"/>
  <c r="O77" i="15"/>
  <c r="O111" i="15" s="1"/>
  <c r="O115" i="15" s="1"/>
  <c r="AL70" i="15"/>
  <c r="AK70" i="15"/>
  <c r="AD70" i="15"/>
  <c r="AF70" i="15" s="1"/>
  <c r="AC70" i="15"/>
  <c r="AE70" i="15" s="1"/>
  <c r="AQ68" i="15"/>
  <c r="AQ72" i="15" s="1"/>
  <c r="AG68" i="15"/>
  <c r="AG72" i="15" s="1"/>
  <c r="AA68" i="15"/>
  <c r="AA72" i="15" s="1"/>
  <c r="Y68" i="15"/>
  <c r="Y72" i="15" s="1"/>
  <c r="S68" i="15"/>
  <c r="S72" i="15" s="1"/>
  <c r="I68" i="15"/>
  <c r="I72" i="15" s="1"/>
  <c r="G68" i="15"/>
  <c r="G72" i="15" s="1"/>
  <c r="F68" i="15"/>
  <c r="F72" i="15" s="1"/>
  <c r="D68" i="15"/>
  <c r="D72" i="15" s="1"/>
  <c r="C68" i="15"/>
  <c r="C72" i="15" s="1"/>
  <c r="AZ66" i="15"/>
  <c r="AX66" i="15"/>
  <c r="AV66" i="15"/>
  <c r="AR66" i="15"/>
  <c r="AP66" i="15"/>
  <c r="AJ66" i="15"/>
  <c r="AH66" i="15"/>
  <c r="AF66" i="15"/>
  <c r="Z66" i="15"/>
  <c r="X66" i="15"/>
  <c r="V66" i="15"/>
  <c r="T66" i="15"/>
  <c r="R66" i="15"/>
  <c r="P66" i="15"/>
  <c r="N66" i="15"/>
  <c r="L66" i="15"/>
  <c r="J66" i="15"/>
  <c r="H66" i="15"/>
  <c r="E66" i="15"/>
  <c r="BA65" i="15"/>
  <c r="BB66" i="15" s="1"/>
  <c r="AS65" i="15"/>
  <c r="AT66" i="15" s="1"/>
  <c r="AK65" i="15"/>
  <c r="AL66" i="15" s="1"/>
  <c r="AC65" i="15"/>
  <c r="AD66" i="15" s="1"/>
  <c r="AZ63" i="15"/>
  <c r="AX63" i="15"/>
  <c r="AV63" i="15"/>
  <c r="AR63" i="15"/>
  <c r="AP63" i="15"/>
  <c r="AJ63" i="15"/>
  <c r="AH63" i="15"/>
  <c r="AF63" i="15"/>
  <c r="AB63" i="15"/>
  <c r="Z63" i="15"/>
  <c r="X63" i="15"/>
  <c r="V63" i="15"/>
  <c r="R63" i="15"/>
  <c r="P63" i="15"/>
  <c r="N63" i="15"/>
  <c r="L63" i="15"/>
  <c r="J63" i="15"/>
  <c r="H63" i="15"/>
  <c r="E63" i="15"/>
  <c r="BA62" i="15"/>
  <c r="AS62" i="15"/>
  <c r="AM62" i="15"/>
  <c r="AN63" i="15" s="1"/>
  <c r="AK62" i="15"/>
  <c r="AC62" i="15"/>
  <c r="BA61" i="15"/>
  <c r="AS61" i="15"/>
  <c r="AK61" i="15"/>
  <c r="AC61" i="15"/>
  <c r="BA60" i="15"/>
  <c r="AS60" i="15"/>
  <c r="AK60" i="15"/>
  <c r="AC60" i="15"/>
  <c r="BA59" i="15"/>
  <c r="AS59" i="15"/>
  <c r="AK59" i="15"/>
  <c r="AC59" i="15"/>
  <c r="BA58" i="15"/>
  <c r="AS58" i="15"/>
  <c r="AK58" i="15"/>
  <c r="AC58" i="15"/>
  <c r="BA57" i="15"/>
  <c r="AS57" i="15"/>
  <c r="AK57" i="15"/>
  <c r="AC57" i="15"/>
  <c r="E55" i="15"/>
  <c r="BA53" i="15"/>
  <c r="AS53" i="15"/>
  <c r="AM53" i="15"/>
  <c r="AK53" i="15"/>
  <c r="AC53" i="15"/>
  <c r="BA52" i="15"/>
  <c r="AS52" i="15"/>
  <c r="AK52" i="15"/>
  <c r="AC52" i="15"/>
  <c r="BA51" i="15"/>
  <c r="AS51" i="15"/>
  <c r="AM51" i="15"/>
  <c r="AC51" i="15"/>
  <c r="BA50" i="15"/>
  <c r="AS50" i="15"/>
  <c r="AK50" i="15"/>
  <c r="AC50" i="15"/>
  <c r="BA49" i="15"/>
  <c r="AU49" i="15"/>
  <c r="AS49" i="15"/>
  <c r="AM49" i="15"/>
  <c r="AK49" i="15"/>
  <c r="AE49" i="15"/>
  <c r="AC49" i="15"/>
  <c r="W49" i="15"/>
  <c r="O49" i="15"/>
  <c r="K49" i="15"/>
  <c r="BA48" i="15"/>
  <c r="AS48" i="15"/>
  <c r="AK48" i="15"/>
  <c r="AC48" i="15"/>
  <c r="O48" i="15"/>
  <c r="BA54" i="15"/>
  <c r="AU54" i="15"/>
  <c r="AS54" i="15"/>
  <c r="AM54" i="15"/>
  <c r="AK54" i="15"/>
  <c r="AC54" i="15"/>
  <c r="O54" i="15"/>
  <c r="AS47" i="15"/>
  <c r="AK47" i="15"/>
  <c r="AE47" i="15"/>
  <c r="AC47" i="15"/>
  <c r="W47" i="15"/>
  <c r="AZ45" i="15"/>
  <c r="AX45" i="15"/>
  <c r="AR45" i="15"/>
  <c r="AP45" i="15"/>
  <c r="AN45" i="15"/>
  <c r="AJ45" i="15"/>
  <c r="AH45" i="15"/>
  <c r="AF45" i="15"/>
  <c r="AB45" i="15"/>
  <c r="Z45" i="15"/>
  <c r="X45" i="15"/>
  <c r="V45" i="15"/>
  <c r="T45" i="15"/>
  <c r="R45" i="15"/>
  <c r="N45" i="15"/>
  <c r="L45" i="15"/>
  <c r="J45" i="15"/>
  <c r="H45" i="15"/>
  <c r="E45" i="15"/>
  <c r="BA44" i="15"/>
  <c r="AS44" i="15"/>
  <c r="AK44" i="15"/>
  <c r="AC44" i="15"/>
  <c r="O44" i="15"/>
  <c r="BA43" i="15"/>
  <c r="AS43" i="15"/>
  <c r="AK43" i="15"/>
  <c r="AC43" i="15"/>
  <c r="BA42" i="15"/>
  <c r="AS42" i="15"/>
  <c r="AK42" i="15"/>
  <c r="AC42" i="15"/>
  <c r="BA41" i="15"/>
  <c r="AS41" i="15"/>
  <c r="AK41" i="15"/>
  <c r="AC41" i="15"/>
  <c r="BA40" i="15"/>
  <c r="AS40" i="15"/>
  <c r="AK40" i="15"/>
  <c r="AC40" i="15"/>
  <c r="BA39" i="15"/>
  <c r="AS39" i="15"/>
  <c r="AK39" i="15"/>
  <c r="AC39" i="15"/>
  <c r="BA38" i="15"/>
  <c r="AU38" i="15"/>
  <c r="AV45" i="15" s="1"/>
  <c r="AS38" i="15"/>
  <c r="AK38" i="15"/>
  <c r="AC38" i="15"/>
  <c r="O38" i="15"/>
  <c r="AZ36" i="15"/>
  <c r="AX36" i="15"/>
  <c r="AR36" i="15"/>
  <c r="AP36" i="15"/>
  <c r="AJ36" i="15"/>
  <c r="AH36" i="15"/>
  <c r="AB36" i="15"/>
  <c r="Z36" i="15"/>
  <c r="V36" i="15"/>
  <c r="T36" i="15"/>
  <c r="R36" i="15"/>
  <c r="P36" i="15"/>
  <c r="N36" i="15"/>
  <c r="L36" i="15"/>
  <c r="J36" i="15"/>
  <c r="H36" i="15"/>
  <c r="E36" i="15"/>
  <c r="BA35" i="15"/>
  <c r="AS35" i="15"/>
  <c r="AK35" i="15"/>
  <c r="AC35" i="15"/>
  <c r="BA34" i="15"/>
  <c r="AV36" i="15"/>
  <c r="AS34" i="15"/>
  <c r="AM34" i="15"/>
  <c r="AN36" i="15" s="1"/>
  <c r="AK34" i="15"/>
  <c r="AE34" i="15"/>
  <c r="AF36" i="15" s="1"/>
  <c r="AC34" i="15"/>
  <c r="W34" i="15"/>
  <c r="X36" i="15" s="1"/>
  <c r="BA33" i="15"/>
  <c r="AS33" i="15"/>
  <c r="AK33" i="15"/>
  <c r="AC33" i="15"/>
  <c r="AZ31" i="15"/>
  <c r="AX31" i="15"/>
  <c r="AR31" i="15"/>
  <c r="AP31" i="15"/>
  <c r="AJ31" i="15"/>
  <c r="AH31" i="15"/>
  <c r="AB31" i="15"/>
  <c r="Z31" i="15"/>
  <c r="V31" i="15"/>
  <c r="T31" i="15"/>
  <c r="N31" i="15"/>
  <c r="J31" i="15"/>
  <c r="H31" i="15"/>
  <c r="E31" i="15"/>
  <c r="BA30" i="15"/>
  <c r="AS30" i="15"/>
  <c r="AK30" i="15"/>
  <c r="AC30" i="15"/>
  <c r="BA29" i="15"/>
  <c r="AS29" i="15"/>
  <c r="AM29" i="15"/>
  <c r="AN31" i="15" s="1"/>
  <c r="AK29" i="15"/>
  <c r="AE29" i="15"/>
  <c r="AF31" i="15" s="1"/>
  <c r="AC29" i="15"/>
  <c r="W29" i="15"/>
  <c r="X31" i="15" s="1"/>
  <c r="K29" i="15"/>
  <c r="L31" i="15" s="1"/>
  <c r="BA28" i="15"/>
  <c r="AS28" i="15"/>
  <c r="AK28" i="15"/>
  <c r="AC28" i="15"/>
  <c r="BA27" i="15"/>
  <c r="AS27" i="15"/>
  <c r="AK27" i="15"/>
  <c r="AC27" i="15"/>
  <c r="O27" i="15"/>
  <c r="P31" i="15" s="1"/>
  <c r="BA26" i="15"/>
  <c r="AS26" i="15"/>
  <c r="AK26" i="15"/>
  <c r="AC26" i="15"/>
  <c r="BA25" i="15"/>
  <c r="AS25" i="15"/>
  <c r="AK25" i="15"/>
  <c r="AC25" i="15"/>
  <c r="Q25" i="15"/>
  <c r="Q68" i="15" s="1"/>
  <c r="Q72" i="15" s="1"/>
  <c r="AZ23" i="15"/>
  <c r="AX23" i="15"/>
  <c r="AR23" i="15"/>
  <c r="AP23" i="15"/>
  <c r="AJ23" i="15"/>
  <c r="AH23" i="15"/>
  <c r="AB23" i="15"/>
  <c r="Z23" i="15"/>
  <c r="V23" i="15"/>
  <c r="T23" i="15"/>
  <c r="R23" i="15"/>
  <c r="N23" i="15"/>
  <c r="J23" i="15"/>
  <c r="H23" i="15"/>
  <c r="E23" i="15"/>
  <c r="BA22" i="15"/>
  <c r="AS22" i="15"/>
  <c r="AK22" i="15"/>
  <c r="AC22" i="15"/>
  <c r="BA21" i="15"/>
  <c r="BA20" i="15"/>
  <c r="AV23" i="15"/>
  <c r="AS20" i="15"/>
  <c r="AK20" i="15"/>
  <c r="AC20" i="15"/>
  <c r="W20" i="15"/>
  <c r="X23" i="15" s="1"/>
  <c r="O20" i="15"/>
  <c r="BA19" i="15"/>
  <c r="AS19" i="15"/>
  <c r="AM19" i="15"/>
  <c r="AK19" i="15"/>
  <c r="AC19" i="15"/>
  <c r="O19" i="15"/>
  <c r="BA18" i="15"/>
  <c r="AS18" i="15"/>
  <c r="AK18" i="15"/>
  <c r="AC18" i="15"/>
  <c r="BA17" i="15"/>
  <c r="AS17" i="15"/>
  <c r="AK17" i="15"/>
  <c r="AC17" i="15"/>
  <c r="K17" i="15"/>
  <c r="L23" i="15" s="1"/>
  <c r="BA16" i="15"/>
  <c r="AS16" i="15"/>
  <c r="AK16" i="15"/>
  <c r="AC16" i="15"/>
  <c r="BA15" i="15"/>
  <c r="AS15" i="15"/>
  <c r="AK15" i="15"/>
  <c r="AC15" i="15"/>
  <c r="BA14" i="15"/>
  <c r="AS14" i="15"/>
  <c r="AM14" i="15"/>
  <c r="AN23" i="15" s="1"/>
  <c r="AK14" i="15"/>
  <c r="AE14" i="15"/>
  <c r="AF23" i="15" s="1"/>
  <c r="AC14" i="15"/>
  <c r="BA13" i="15"/>
  <c r="AS13" i="15"/>
  <c r="AK13" i="15"/>
  <c r="AC13" i="15"/>
  <c r="BA12" i="15"/>
  <c r="AS12" i="15"/>
  <c r="AK12" i="15"/>
  <c r="AC12" i="15"/>
  <c r="O12" i="15"/>
  <c r="AZ10" i="15"/>
  <c r="AX10" i="15"/>
  <c r="AR10" i="15"/>
  <c r="AP10" i="15"/>
  <c r="AJ10" i="15"/>
  <c r="AH10" i="15"/>
  <c r="AF10" i="15"/>
  <c r="AB10" i="15"/>
  <c r="AB68" i="15" s="1"/>
  <c r="AB72" i="15" s="1"/>
  <c r="Z10" i="15"/>
  <c r="V10" i="15"/>
  <c r="T10" i="15"/>
  <c r="R10" i="15"/>
  <c r="N10" i="15"/>
  <c r="J10" i="15"/>
  <c r="H10" i="15"/>
  <c r="E10" i="15"/>
  <c r="BA9" i="15"/>
  <c r="AS9" i="15"/>
  <c r="AM9" i="15"/>
  <c r="AK9" i="15"/>
  <c r="AC9" i="15"/>
  <c r="W9" i="15"/>
  <c r="X10" i="15" s="1"/>
  <c r="BA8" i="15"/>
  <c r="AS8" i="15"/>
  <c r="AK8" i="15"/>
  <c r="AC8" i="15"/>
  <c r="BA7" i="15"/>
  <c r="AU7" i="15"/>
  <c r="AS7" i="15"/>
  <c r="AM7" i="15"/>
  <c r="AK7" i="15"/>
  <c r="AC7" i="15"/>
  <c r="O7" i="15"/>
  <c r="K7" i="15"/>
  <c r="BA6" i="15"/>
  <c r="AS6" i="15"/>
  <c r="AK6" i="15"/>
  <c r="AC6" i="15"/>
  <c r="O6" i="15"/>
  <c r="K6" i="15"/>
  <c r="BA5" i="15"/>
  <c r="AS5" i="15"/>
  <c r="AM5" i="15"/>
  <c r="AK5" i="15"/>
  <c r="AC5" i="15"/>
  <c r="C3" i="5" l="1"/>
  <c r="C8" i="5" s="1"/>
  <c r="AV68" i="15"/>
  <c r="C16" i="5"/>
  <c r="AE111" i="15"/>
  <c r="AE115" i="15" s="1"/>
  <c r="AH111" i="15"/>
  <c r="AH115" i="15" s="1"/>
  <c r="J111" i="15"/>
  <c r="J115" i="15" s="1"/>
  <c r="P10" i="15"/>
  <c r="AY116" i="15"/>
  <c r="R31" i="15"/>
  <c r="AD36" i="15"/>
  <c r="AT63" i="15"/>
  <c r="AD63" i="15"/>
  <c r="AZ68" i="15"/>
  <c r="AZ72" i="15" s="1"/>
  <c r="AU111" i="15"/>
  <c r="AU115" i="15" s="1"/>
  <c r="AR111" i="15"/>
  <c r="AR115" i="15" s="1"/>
  <c r="BB109" i="15"/>
  <c r="D15" i="5" s="1"/>
  <c r="D16" i="5" s="1"/>
  <c r="H68" i="15"/>
  <c r="H72" i="15" s="1"/>
  <c r="Z111" i="15"/>
  <c r="Z115" i="15" s="1"/>
  <c r="BB103" i="15"/>
  <c r="BB63" i="15"/>
  <c r="AN10" i="15"/>
  <c r="AN68" i="15" s="1"/>
  <c r="AN72" i="15" s="1"/>
  <c r="X68" i="15"/>
  <c r="X72" i="15" s="1"/>
  <c r="X116" i="15" s="1"/>
  <c r="AD84" i="15"/>
  <c r="AA116" i="15"/>
  <c r="V68" i="15"/>
  <c r="V72" i="15" s="1"/>
  <c r="AL31" i="15"/>
  <c r="AF84" i="15"/>
  <c r="AF111" i="15" s="1"/>
  <c r="AF115" i="15" s="1"/>
  <c r="T68" i="15"/>
  <c r="T72" i="15" s="1"/>
  <c r="AR68" i="15"/>
  <c r="AR72" i="15" s="1"/>
  <c r="AR116" i="15" s="1"/>
  <c r="BB45" i="15"/>
  <c r="N111" i="15"/>
  <c r="N115" i="15" s="1"/>
  <c r="AZ111" i="15"/>
  <c r="AZ115" i="15" s="1"/>
  <c r="O68" i="15"/>
  <c r="O72" i="15" s="1"/>
  <c r="O116" i="15" s="1"/>
  <c r="AX68" i="15"/>
  <c r="AX72" i="15" s="1"/>
  <c r="AT31" i="15"/>
  <c r="AT45" i="15"/>
  <c r="AE68" i="15"/>
  <c r="AE72" i="15" s="1"/>
  <c r="AE116" i="15" s="1"/>
  <c r="AB111" i="15"/>
  <c r="AB115" i="15" s="1"/>
  <c r="AB116" i="15" s="1"/>
  <c r="AD96" i="15"/>
  <c r="U116" i="15"/>
  <c r="P23" i="15"/>
  <c r="L111" i="15"/>
  <c r="L115" i="15" s="1"/>
  <c r="AL96" i="15"/>
  <c r="G116" i="15"/>
  <c r="Y116" i="15"/>
  <c r="BB84" i="15"/>
  <c r="W111" i="15"/>
  <c r="W115" i="15" s="1"/>
  <c r="AC68" i="15"/>
  <c r="AC72" i="15" s="1"/>
  <c r="J68" i="15"/>
  <c r="J72" i="15" s="1"/>
  <c r="J116" i="15" s="1"/>
  <c r="AD23" i="15"/>
  <c r="BB36" i="15"/>
  <c r="AT84" i="15"/>
  <c r="X111" i="15"/>
  <c r="X115" i="15" s="1"/>
  <c r="P84" i="15"/>
  <c r="P111" i="15" s="1"/>
  <c r="P115" i="15" s="1"/>
  <c r="AJ111" i="15"/>
  <c r="AJ115" i="15" s="1"/>
  <c r="AN96" i="15"/>
  <c r="AN111" i="15" s="1"/>
  <c r="AN115" i="15" s="1"/>
  <c r="AD103" i="15"/>
  <c r="I116" i="15"/>
  <c r="K68" i="15"/>
  <c r="K72" i="15" s="1"/>
  <c r="AK111" i="15"/>
  <c r="AK68" i="15"/>
  <c r="AK72" i="15" s="1"/>
  <c r="AH68" i="15"/>
  <c r="AH72" i="15" s="1"/>
  <c r="AL23" i="15"/>
  <c r="AL45" i="15"/>
  <c r="AF68" i="15"/>
  <c r="AF72" i="15" s="1"/>
  <c r="AP111" i="15"/>
  <c r="AP115" i="15" s="1"/>
  <c r="AT96" i="15"/>
  <c r="AM111" i="15"/>
  <c r="AM115" i="15" s="1"/>
  <c r="AL103" i="15"/>
  <c r="E111" i="15"/>
  <c r="E115" i="15" s="1"/>
  <c r="M116" i="15"/>
  <c r="BB31" i="15"/>
  <c r="D4" i="5" s="1"/>
  <c r="D8" i="5" s="1"/>
  <c r="L10" i="15"/>
  <c r="L68" i="15" s="1"/>
  <c r="L72" i="15" s="1"/>
  <c r="N68" i="15"/>
  <c r="N72" i="15" s="1"/>
  <c r="AJ68" i="15"/>
  <c r="AJ72" i="15" s="1"/>
  <c r="AT23" i="15"/>
  <c r="AL36" i="15"/>
  <c r="P45" i="15"/>
  <c r="AL63" i="15"/>
  <c r="E68" i="15"/>
  <c r="E72" i="15" s="1"/>
  <c r="W68" i="15"/>
  <c r="W72" i="15" s="1"/>
  <c r="BA111" i="15"/>
  <c r="BA115" i="15" s="1"/>
  <c r="T111" i="15"/>
  <c r="T115" i="15" s="1"/>
  <c r="AV96" i="15"/>
  <c r="AT103" i="15"/>
  <c r="AL109" i="15"/>
  <c r="H111" i="15"/>
  <c r="H115" i="15" s="1"/>
  <c r="AG116" i="15"/>
  <c r="Z68" i="15"/>
  <c r="Z72" i="15" s="1"/>
  <c r="AS68" i="15"/>
  <c r="AS72" i="15" s="1"/>
  <c r="R68" i="15"/>
  <c r="R72" i="15" s="1"/>
  <c r="R116" i="15" s="1"/>
  <c r="AP68" i="15"/>
  <c r="AP72" i="15" s="1"/>
  <c r="BB23" i="15"/>
  <c r="AD31" i="15"/>
  <c r="AT36" i="15"/>
  <c r="AD45" i="15"/>
  <c r="V111" i="15"/>
  <c r="V115" i="15" s="1"/>
  <c r="AX111" i="15"/>
  <c r="AX115" i="15" s="1"/>
  <c r="BB96" i="15"/>
  <c r="BA68" i="15"/>
  <c r="BA72" i="15" s="1"/>
  <c r="AO116" i="15"/>
  <c r="D116" i="15"/>
  <c r="C116" i="15"/>
  <c r="Q116" i="15"/>
  <c r="F116" i="15"/>
  <c r="AW116" i="15"/>
  <c r="S116" i="15"/>
  <c r="AI116" i="15"/>
  <c r="AQ116" i="15"/>
  <c r="AU68" i="15"/>
  <c r="AU72" i="15" s="1"/>
  <c r="AL10" i="15"/>
  <c r="BB10" i="15"/>
  <c r="AC115" i="15"/>
  <c r="AK115" i="15"/>
  <c r="AL84" i="15"/>
  <c r="AL115" i="15"/>
  <c r="K111" i="15"/>
  <c r="K115" i="15" s="1"/>
  <c r="AM68" i="15"/>
  <c r="AM72" i="15" s="1"/>
  <c r="AD10" i="15"/>
  <c r="AT10" i="15"/>
  <c r="AV84" i="15"/>
  <c r="AC111" i="15"/>
  <c r="AS111" i="15"/>
  <c r="AS115" i="15" s="1"/>
  <c r="D17" i="5" l="1"/>
  <c r="C17" i="5"/>
  <c r="AV111" i="15"/>
  <c r="AV115" i="15" s="1"/>
  <c r="AK116" i="15"/>
  <c r="AH116" i="15"/>
  <c r="T116" i="15"/>
  <c r="V116" i="15"/>
  <c r="AC116" i="15"/>
  <c r="H116" i="15"/>
  <c r="AJ116" i="15"/>
  <c r="AZ116" i="15"/>
  <c r="AU116" i="15"/>
  <c r="Z116" i="15"/>
  <c r="AM116" i="15"/>
  <c r="N116" i="15"/>
  <c r="W116" i="15"/>
  <c r="AL68" i="15"/>
  <c r="AL72" i="15" s="1"/>
  <c r="AL116" i="15" s="1"/>
  <c r="AD111" i="15"/>
  <c r="AS116" i="15"/>
  <c r="AD115" i="15"/>
  <c r="AN116" i="15"/>
  <c r="AT111" i="15"/>
  <c r="AT115" i="15" s="1"/>
  <c r="P68" i="15"/>
  <c r="P72" i="15" s="1"/>
  <c r="P116" i="15" s="1"/>
  <c r="AV72" i="15"/>
  <c r="BB111" i="15"/>
  <c r="BB115" i="15" s="1"/>
  <c r="AT68" i="15"/>
  <c r="AT72" i="15" s="1"/>
  <c r="AD68" i="15"/>
  <c r="AD72" i="15" s="1"/>
  <c r="AD116" i="15" s="1"/>
  <c r="BB68" i="15"/>
  <c r="BB72" i="15" s="1"/>
  <c r="BA116" i="15"/>
  <c r="E116" i="15"/>
  <c r="K116" i="15"/>
  <c r="AF116" i="15"/>
  <c r="L116" i="15"/>
  <c r="AX116" i="15"/>
  <c r="AP116" i="15"/>
  <c r="AL111" i="15"/>
  <c r="AI79" i="13"/>
  <c r="AI73" i="13"/>
  <c r="AL71" i="13"/>
  <c r="AL70" i="13"/>
  <c r="AL69" i="13"/>
  <c r="AL79" i="13" s="1"/>
  <c r="AL80" i="13" s="1"/>
  <c r="AM44" i="13"/>
  <c r="AL44" i="13"/>
  <c r="AK44" i="13"/>
  <c r="AJ44" i="13"/>
  <c r="AI44" i="13"/>
  <c r="AM23" i="13"/>
  <c r="AL23" i="13"/>
  <c r="AK23" i="13"/>
  <c r="AJ23" i="13"/>
  <c r="AI23" i="13"/>
  <c r="C8" i="12"/>
  <c r="C13" i="12" s="1"/>
  <c r="AV116" i="15" l="1"/>
  <c r="AT116" i="15"/>
  <c r="BB116" i="15"/>
  <c r="B8" i="5"/>
  <c r="B16" i="5"/>
  <c r="O23" i="13"/>
  <c r="T44" i="13"/>
  <c r="X23" i="13"/>
  <c r="AA23" i="13"/>
  <c r="AB44" i="13"/>
  <c r="AH44" i="13"/>
  <c r="AG44" i="13"/>
  <c r="AF44" i="13"/>
  <c r="AE44" i="13"/>
  <c r="AD44" i="13"/>
  <c r="AC44" i="13"/>
  <c r="E23" i="13"/>
  <c r="F23" i="13"/>
  <c r="G23" i="13"/>
  <c r="H23" i="13"/>
  <c r="I23" i="13"/>
  <c r="J23" i="13"/>
  <c r="K23" i="13"/>
  <c r="L23" i="13"/>
  <c r="M23" i="13"/>
  <c r="N23" i="13"/>
  <c r="P23" i="13"/>
  <c r="Q23" i="13"/>
  <c r="R23" i="13"/>
  <c r="S23" i="13"/>
  <c r="T23" i="13"/>
  <c r="U23" i="13"/>
  <c r="V23" i="13"/>
  <c r="W23" i="13"/>
  <c r="Y23" i="13"/>
  <c r="Z23" i="13"/>
  <c r="AB23" i="13"/>
  <c r="AC23" i="13"/>
  <c r="AD23" i="13"/>
  <c r="AE23" i="13"/>
  <c r="AF23" i="13"/>
  <c r="AG23" i="13"/>
  <c r="AH23" i="13"/>
  <c r="C23" i="13"/>
  <c r="D23" i="13"/>
  <c r="AC73" i="13"/>
  <c r="W73" i="13"/>
  <c r="Q73" i="13"/>
  <c r="T69" i="13"/>
  <c r="T70" i="13"/>
  <c r="T71" i="13"/>
  <c r="F8" i="12"/>
  <c r="F13" i="12" s="1"/>
  <c r="E8" i="12"/>
  <c r="E13" i="12" s="1"/>
  <c r="D8" i="12"/>
  <c r="D13" i="12" s="1"/>
  <c r="B8" i="12"/>
  <c r="B13" i="12" s="1"/>
  <c r="AC79" i="13"/>
  <c r="AF71" i="13"/>
  <c r="AF70" i="13"/>
  <c r="AF69" i="13"/>
  <c r="Z71" i="13"/>
  <c r="Z70" i="13"/>
  <c r="Z69" i="13"/>
  <c r="K73" i="13"/>
  <c r="W79" i="13"/>
  <c r="Q79" i="13"/>
  <c r="N69" i="13"/>
  <c r="N70" i="13"/>
  <c r="K79" i="13"/>
  <c r="N71" i="13"/>
  <c r="AA44" i="13"/>
  <c r="Z44" i="13"/>
  <c r="Y44" i="13"/>
  <c r="X44" i="13"/>
  <c r="W44" i="13"/>
  <c r="V44" i="13"/>
  <c r="U44" i="13"/>
  <c r="S44" i="13"/>
  <c r="R44" i="13"/>
  <c r="Q44" i="13"/>
  <c r="P44" i="13"/>
  <c r="O44" i="13"/>
  <c r="N44" i="13"/>
  <c r="M44" i="13"/>
  <c r="L44" i="13"/>
  <c r="K44" i="13"/>
  <c r="J44" i="13"/>
  <c r="I44" i="13"/>
  <c r="H44" i="13"/>
  <c r="G44" i="13"/>
  <c r="F44" i="13"/>
  <c r="E44" i="13"/>
  <c r="D44" i="13"/>
  <c r="C44" i="13"/>
  <c r="B44" i="13"/>
  <c r="B46" i="13" s="1"/>
  <c r="B17" i="5" l="1"/>
  <c r="T79" i="13"/>
  <c r="T80" i="13" s="1"/>
  <c r="Z79" i="13"/>
  <c r="Z80" i="13" s="1"/>
  <c r="AF79" i="13"/>
  <c r="AF80" i="13" s="1"/>
  <c r="N79" i="13"/>
  <c r="N80" i="13" s="1"/>
  <c r="C46" i="13"/>
  <c r="D46" i="13" s="1"/>
  <c r="E46" i="13" s="1"/>
  <c r="F46" i="13" s="1"/>
  <c r="G46" i="13" s="1"/>
  <c r="H46" i="13" s="1"/>
  <c r="I46" i="13" s="1"/>
  <c r="J46" i="13" s="1"/>
  <c r="K46" i="13" s="1"/>
  <c r="L46" i="13" s="1"/>
  <c r="M46" i="13" s="1"/>
  <c r="N46" i="13" s="1"/>
  <c r="O46" i="13" s="1"/>
  <c r="P46" i="13" l="1"/>
  <c r="Q46" i="13" s="1"/>
  <c r="R46" i="13" s="1"/>
  <c r="S46" i="13" s="1"/>
  <c r="T46" i="13" s="1"/>
  <c r="U46" i="13" s="1"/>
  <c r="V46" i="13" s="1"/>
  <c r="W46" i="13" s="1"/>
  <c r="X46" i="13" s="1"/>
  <c r="Y46" i="13" s="1"/>
  <c r="Z46" i="13" s="1"/>
  <c r="AA46" i="13" s="1"/>
  <c r="AB46" i="13" s="1"/>
  <c r="AD46" i="13" s="1"/>
  <c r="AE46" i="13" s="1"/>
  <c r="AF46" i="13" s="1"/>
  <c r="AG46" i="13" s="1"/>
  <c r="AH46" i="13" s="1"/>
  <c r="AI46" i="13" s="1"/>
  <c r="AJ46" i="13" s="1"/>
  <c r="AK46" i="13" s="1"/>
  <c r="AL46" i="13" s="1"/>
  <c r="AM46" i="13" s="1"/>
</calcChain>
</file>

<file path=xl/sharedStrings.xml><?xml version="1.0" encoding="utf-8"?>
<sst xmlns="http://schemas.openxmlformats.org/spreadsheetml/2006/main" count="390" uniqueCount="203">
  <si>
    <t>Charges</t>
  </si>
  <si>
    <t>Réel</t>
  </si>
  <si>
    <t>Résultat</t>
  </si>
  <si>
    <t>ACHATS</t>
  </si>
  <si>
    <t>Produits</t>
  </si>
  <si>
    <t>Prév.</t>
  </si>
  <si>
    <t>Cotisations</t>
  </si>
  <si>
    <t>VENTES PRESTATIONS</t>
  </si>
  <si>
    <t>Sponsors</t>
  </si>
  <si>
    <t>BENEVOLES</t>
  </si>
  <si>
    <t>SERVICES EXTERIEURS</t>
  </si>
  <si>
    <t>Autres Charges Externes</t>
  </si>
  <si>
    <t>SALAIRES / CHARGES SOCIALES</t>
  </si>
  <si>
    <t>INTERET EMPRUNT / IMPOTS,TAXES</t>
  </si>
  <si>
    <t>AMORTISSEMENTS SUR IMMO.</t>
  </si>
  <si>
    <t>TOTAL</t>
  </si>
  <si>
    <t>PRODUITS DE GESTION</t>
  </si>
  <si>
    <t xml:space="preserve">BUDGET CSBJ ATHLETISME </t>
  </si>
  <si>
    <t>Total Général des Charges</t>
  </si>
  <si>
    <t>Total Général des Produits</t>
  </si>
  <si>
    <t>Bilan   (Charges - Produits)</t>
  </si>
  <si>
    <t>Total Produits</t>
  </si>
  <si>
    <t>Achats et Fournitures</t>
  </si>
  <si>
    <t>Déplacements et stages</t>
  </si>
  <si>
    <t>Licences FFA</t>
  </si>
  <si>
    <t>Salaires et charges</t>
  </si>
  <si>
    <t>Résutats</t>
  </si>
  <si>
    <t>Total Charges</t>
  </si>
  <si>
    <t>Total</t>
  </si>
  <si>
    <t>ASVF</t>
  </si>
  <si>
    <t>EAGLC</t>
  </si>
  <si>
    <t xml:space="preserve">Ventes et Prestations </t>
  </si>
  <si>
    <t>Subventions Etat / CD Isère</t>
  </si>
  <si>
    <t xml:space="preserve"> Produits - Charges</t>
  </si>
  <si>
    <t>Résultats</t>
  </si>
  <si>
    <t>Subventions Bourgoin-Jallieu / CAPI</t>
  </si>
  <si>
    <t>Loisirs</t>
  </si>
  <si>
    <t xml:space="preserve"> </t>
  </si>
  <si>
    <t xml:space="preserve">Type Licence </t>
  </si>
  <si>
    <t>Découverte</t>
  </si>
  <si>
    <t>Encadrement</t>
  </si>
  <si>
    <t>Comp BE-MI</t>
  </si>
  <si>
    <t>Comp CA et +</t>
  </si>
  <si>
    <t>Part  FFA 2025-2026</t>
  </si>
  <si>
    <t>Section ASVF 2025-2026</t>
  </si>
  <si>
    <t>Section EAGLC 2025-2026</t>
  </si>
  <si>
    <t>+15</t>
  </si>
  <si>
    <t>Recettes</t>
  </si>
  <si>
    <t>Mairie Augmentation Fct</t>
  </si>
  <si>
    <t>DAUPHIN événements</t>
  </si>
  <si>
    <t>DAUPHIN Rendez vous Forme Santé</t>
  </si>
  <si>
    <t xml:space="preserve">Maillots </t>
  </si>
  <si>
    <t>Buvette repas</t>
  </si>
  <si>
    <t>BERJATRAIL</t>
  </si>
  <si>
    <t>Label / Aide Ligue</t>
  </si>
  <si>
    <t>ANS Emploi</t>
  </si>
  <si>
    <t>ANS Action</t>
  </si>
  <si>
    <t>Département COSI / Matériels</t>
  </si>
  <si>
    <t xml:space="preserve">DRAJES "Maison Sport santé" </t>
  </si>
  <si>
    <t xml:space="preserve">AMI "Maison Sport santé" </t>
  </si>
  <si>
    <t>Cotisations MSSPI</t>
  </si>
  <si>
    <t>Aides Civiques / Aides Apprenti</t>
  </si>
  <si>
    <t xml:space="preserve">IL département </t>
  </si>
  <si>
    <t>Prêt</t>
  </si>
  <si>
    <t>Dépenses</t>
  </si>
  <si>
    <t>Textiles</t>
  </si>
  <si>
    <t>Matériels</t>
  </si>
  <si>
    <t>EDF / EAU</t>
  </si>
  <si>
    <t>Assurance MAIF / Compta Dv Experts / Banque</t>
  </si>
  <si>
    <t>Frais MSSPI</t>
  </si>
  <si>
    <t>Frais Divers Entretien</t>
  </si>
  <si>
    <t>Frais Déplacement Comp</t>
  </si>
  <si>
    <t>Frais Déplacement Entr</t>
  </si>
  <si>
    <t xml:space="preserve">Stages Formation </t>
  </si>
  <si>
    <t xml:space="preserve">Charges URSAFF / AG2R/ Humanis / April /Impots </t>
  </si>
  <si>
    <t>Licence FFA</t>
  </si>
  <si>
    <t>Frais Mutation</t>
  </si>
  <si>
    <t>Prêt matériels</t>
  </si>
  <si>
    <t>Prêt PGE</t>
  </si>
  <si>
    <t>Compte courant</t>
  </si>
  <si>
    <t>Liv A</t>
  </si>
  <si>
    <t>Tableau Prévisionnel  - Hugo MARTINS</t>
  </si>
  <si>
    <t>Organisme</t>
  </si>
  <si>
    <t>h/Sem</t>
  </si>
  <si>
    <t>Semaines</t>
  </si>
  <si>
    <t>€/h</t>
  </si>
  <si>
    <t>CDAI</t>
  </si>
  <si>
    <t>Charges Réél</t>
  </si>
  <si>
    <t>Net pour le club</t>
  </si>
  <si>
    <t>12 mois</t>
  </si>
  <si>
    <t>ANS</t>
  </si>
  <si>
    <t>QPV</t>
  </si>
  <si>
    <t>Eté</t>
  </si>
  <si>
    <t>Part  Ligue 2025-2026</t>
  </si>
  <si>
    <t>Part Comité 2025-2026</t>
  </si>
  <si>
    <t>avec Parts</t>
  </si>
  <si>
    <t>sans Parts</t>
  </si>
  <si>
    <t>Part section &gt; CSBJ 2025-2026</t>
  </si>
  <si>
    <t>Prestations Diverses (CD38/Sections)</t>
  </si>
  <si>
    <t>Mairie Haut-Niveau / BERJATHLON</t>
  </si>
  <si>
    <t>Rémunération Personnel / Service Civique</t>
  </si>
  <si>
    <t>Cotisations CSBJ/EAGLC / ASVF</t>
  </si>
  <si>
    <t>Stage Ligue/Comité</t>
  </si>
  <si>
    <t xml:space="preserve">Stage EA </t>
  </si>
  <si>
    <t>Stages EA</t>
  </si>
  <si>
    <t>Prév.Msspi</t>
  </si>
  <si>
    <t>Prév. Réunis</t>
  </si>
  <si>
    <t>Matière fournitures</t>
  </si>
  <si>
    <t>Course Hors-Stade (Berjatrail)</t>
  </si>
  <si>
    <t>Maillots</t>
  </si>
  <si>
    <t>Ecole Athlé</t>
  </si>
  <si>
    <t>Consommables</t>
  </si>
  <si>
    <t>Sous - Total</t>
  </si>
  <si>
    <t>EDF</t>
  </si>
  <si>
    <t>EAU</t>
  </si>
  <si>
    <t>Fourniture / Petits Matériels</t>
  </si>
  <si>
    <t>Matériels Sportifs</t>
  </si>
  <si>
    <t>Matériels Bureau et Telecopieur</t>
  </si>
  <si>
    <t>Petit matos et Jet copieurs</t>
  </si>
  <si>
    <t>Foncia garage</t>
  </si>
  <si>
    <t>Entretiens / Réparations</t>
  </si>
  <si>
    <t>Entretien matériels salle / minibus / VMC</t>
  </si>
  <si>
    <t>Assurance</t>
  </si>
  <si>
    <t>Honoraires DV Experts</t>
  </si>
  <si>
    <t>Honoraires SPORTIFS</t>
  </si>
  <si>
    <t xml:space="preserve">Prestataires extérieurs Coaching </t>
  </si>
  <si>
    <t>Assurance Emprunt</t>
  </si>
  <si>
    <t>Déplacement mission réception</t>
  </si>
  <si>
    <t xml:space="preserve">Petit-déj partenaires </t>
  </si>
  <si>
    <t>Entrainements</t>
  </si>
  <si>
    <t xml:space="preserve">Accompagnement HN </t>
  </si>
  <si>
    <t>Compétitions</t>
  </si>
  <si>
    <t>Prév. Compétition Coupe FR / Equiathlé / nb qualifiés FR aug</t>
  </si>
  <si>
    <t>Haut-niveau</t>
  </si>
  <si>
    <t>Hors-stade</t>
  </si>
  <si>
    <t>Interclubs</t>
  </si>
  <si>
    <t>IC Montpellier</t>
  </si>
  <si>
    <t>Stages et Formations</t>
  </si>
  <si>
    <t>Extension MSSPI</t>
  </si>
  <si>
    <t>Tél</t>
  </si>
  <si>
    <t>Timbres</t>
  </si>
  <si>
    <t xml:space="preserve">Site internet / Applications </t>
  </si>
  <si>
    <t>Service bancaires</t>
  </si>
  <si>
    <t>Licences BJ</t>
  </si>
  <si>
    <t>Licences ASVF</t>
  </si>
  <si>
    <t>Licences Crémieu</t>
  </si>
  <si>
    <t>Licences EAGLC</t>
  </si>
  <si>
    <t>Mutations</t>
  </si>
  <si>
    <t>Salaire</t>
  </si>
  <si>
    <t>Urssaf</t>
  </si>
  <si>
    <t>Mutuelle Humanis April</t>
  </si>
  <si>
    <t>Caisse Retraite AG2R</t>
  </si>
  <si>
    <t>Médecine Travail</t>
  </si>
  <si>
    <t>Formation Professionnelle / FFA</t>
  </si>
  <si>
    <t>Développement pratique hors-stade / MSSPI</t>
  </si>
  <si>
    <t>Charge Gestion Courantes</t>
  </si>
  <si>
    <t>Taxes garages</t>
  </si>
  <si>
    <t>Charges Financiaires</t>
  </si>
  <si>
    <t>Intérêt Emprunt</t>
  </si>
  <si>
    <t>Pénalités</t>
  </si>
  <si>
    <t>Charges exceptionnelles</t>
  </si>
  <si>
    <t>Dotations Amortissements</t>
  </si>
  <si>
    <t>Investissement matériels salle cardio</t>
  </si>
  <si>
    <t>Prév.Réunis</t>
  </si>
  <si>
    <t>Prestation Services</t>
  </si>
  <si>
    <t>Stages Ecole Athlétisme</t>
  </si>
  <si>
    <t>Engagement Hors-stade (Berjatrail)</t>
  </si>
  <si>
    <t>Consommations Buvettes</t>
  </si>
  <si>
    <t>Remboursement Frais Dplct</t>
  </si>
  <si>
    <t>Maillot</t>
  </si>
  <si>
    <t>Publicité</t>
  </si>
  <si>
    <t>SUBVENTION EXPLOITATION</t>
  </si>
  <si>
    <t>Etat ANS/ DRAJES</t>
  </si>
  <si>
    <t>Etat QPV</t>
  </si>
  <si>
    <t>Conseil Général</t>
  </si>
  <si>
    <t>Matériels / Aides Meeting / IL / COSI / AMI</t>
  </si>
  <si>
    <t>Mairie Bourgoin-Jallieu / CAPI</t>
  </si>
  <si>
    <t>Mairie Bourgoin-Jallieu Fct Salle</t>
  </si>
  <si>
    <t>Mairie Bourgoin-Jallieu Avenant Salle</t>
  </si>
  <si>
    <t>Autres Aides  (Haut-Niveau/Berjathlon)</t>
  </si>
  <si>
    <t>FFA Label / Ligue AURA / Apprenti</t>
  </si>
  <si>
    <t>Label / Aide section / aide apprenti</t>
  </si>
  <si>
    <t>Augmentation partenaires 4000-5000 € / Perte</t>
  </si>
  <si>
    <t>Cotisations BJ</t>
  </si>
  <si>
    <t>Cotisations EAGLC</t>
  </si>
  <si>
    <t>Cotisations ASVF</t>
  </si>
  <si>
    <t>Cotisations Crémieu</t>
  </si>
  <si>
    <t>Produits Divers</t>
  </si>
  <si>
    <t>Produits Financiers</t>
  </si>
  <si>
    <t>Produits exceptionnels</t>
  </si>
  <si>
    <t>Subventions Amorties</t>
  </si>
  <si>
    <t>Régularisation Charges</t>
  </si>
  <si>
    <t xml:space="preserve">Provisions Maitrise œuvre </t>
  </si>
  <si>
    <t>Diminution stage ligue ETR politique ARA / Stage</t>
  </si>
  <si>
    <t>++</t>
  </si>
  <si>
    <t>Subvention HN CAPI senior</t>
  </si>
  <si>
    <t xml:space="preserve">demande augmentation salle </t>
  </si>
  <si>
    <t>augmentation course HS</t>
  </si>
  <si>
    <t xml:space="preserve">Primes Gratification / Indemnités </t>
  </si>
  <si>
    <t>Autres Charges personnel</t>
  </si>
  <si>
    <t>²</t>
  </si>
  <si>
    <t>Amortissements / Régul. Charges</t>
  </si>
  <si>
    <t>Autres Recettes / Régul Prod. / Subv. Salle Ammort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</si>
</sst>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[$€-40C]_-;\-* #,##0.00\ [$€-40C]_-;_-* &quot;-&quot;??\ [$€-40C]_-;_-@_-"/>
    <numFmt numFmtId="165" formatCode="_-* #,##0.0\ [$€-40C]_-;\-* #,##0.0\ [$€-40C]_-;_-* &quot;-&quot;??\ [$€-40C]_-;_-@_-"/>
  </numFmts>
  <fonts count="30" x14ac:knownFonts="1">
    <font>
      <sz val="10"/>
      <color rgb="FF000000"/>
      <name val="Times New Roman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Calibri"/>
      <family val="2"/>
    </font>
    <font>
      <b/>
      <sz val="16"/>
      <name val="Calibri"/>
      <family val="2"/>
    </font>
    <font>
      <sz val="12"/>
      <color rgb="FF000000"/>
      <name val="Times New Roman"/>
      <family val="1"/>
    </font>
    <font>
      <b/>
      <sz val="12"/>
      <color rgb="FF000000"/>
      <name val="Calibri"/>
      <family val="2"/>
    </font>
    <font>
      <sz val="12"/>
      <color rgb="FF000000"/>
      <name val="Calibri"/>
      <family val="2"/>
      <scheme val="minor"/>
    </font>
    <font>
      <sz val="12"/>
      <name val="Calibri"/>
      <family val="2"/>
      <scheme val="minor"/>
    </font>
    <font>
      <b/>
      <sz val="10"/>
      <color rgb="FF000000"/>
      <name val="Times New Roman"/>
      <family val="1"/>
    </font>
    <font>
      <b/>
      <sz val="12"/>
      <color rgb="FF000000"/>
      <name val="Calibri"/>
      <family val="2"/>
      <scheme val="minor"/>
    </font>
    <font>
      <b/>
      <sz val="12"/>
      <color rgb="FF000000"/>
      <name val="Times New Roman"/>
      <family val="1"/>
    </font>
    <font>
      <b/>
      <sz val="12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4"/>
      <name val="Calibri"/>
      <family val="2"/>
      <scheme val="minor"/>
    </font>
    <font>
      <b/>
      <sz val="18"/>
      <color theme="0"/>
      <name val="Calibri"/>
      <family val="2"/>
    </font>
    <font>
      <sz val="10"/>
      <color rgb="FF000000"/>
      <name val="Times New Roman"/>
      <family val="1"/>
    </font>
    <font>
      <b/>
      <sz val="14"/>
      <color rgb="FF000000"/>
      <name val="Times New Roman"/>
      <family val="1"/>
    </font>
    <font>
      <b/>
      <sz val="16"/>
      <color rgb="FF000000"/>
      <name val="Times New Roman"/>
      <family val="1"/>
    </font>
    <font>
      <sz val="16"/>
      <color rgb="FF000000"/>
      <name val="Times New Roman"/>
      <family val="1"/>
    </font>
    <font>
      <b/>
      <sz val="11"/>
      <color rgb="FF000000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Times New Roman"/>
      <family val="1"/>
    </font>
    <font>
      <sz val="10"/>
      <color rgb="FF000000"/>
      <name val="Times New Roman"/>
      <charset val="204"/>
    </font>
  </fonts>
  <fills count="18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</fills>
  <borders count="8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thin">
        <color rgb="FF000000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7" fillId="0" borderId="0"/>
    <xf numFmtId="0" fontId="29" fillId="0" borderId="0"/>
  </cellStyleXfs>
  <cellXfs count="748">
    <xf numFmtId="0" fontId="0" fillId="0" borderId="0" xfId="0" applyAlignment="1">
      <alignment horizontal="left" vertical="top"/>
    </xf>
    <xf numFmtId="0" fontId="21" fillId="0" borderId="0" xfId="0" applyFont="1" applyAlignment="1">
      <alignment horizontal="center" vertical="top"/>
    </xf>
    <xf numFmtId="0" fontId="0" fillId="0" borderId="24" xfId="0" applyBorder="1" applyAlignment="1">
      <alignment horizontal="center" vertical="top"/>
    </xf>
    <xf numFmtId="0" fontId="22" fillId="0" borderId="0" xfId="0" applyFont="1" applyAlignment="1">
      <alignment horizontal="left" vertical="center"/>
    </xf>
    <xf numFmtId="1" fontId="23" fillId="2" borderId="57" xfId="0" applyNumberFormat="1" applyFont="1" applyFill="1" applyBorder="1" applyAlignment="1">
      <alignment horizontal="right" vertical="center"/>
    </xf>
    <xf numFmtId="0" fontId="23" fillId="0" borderId="18" xfId="0" applyFont="1" applyBorder="1" applyAlignment="1">
      <alignment horizontal="left" vertical="center"/>
    </xf>
    <xf numFmtId="1" fontId="24" fillId="9" borderId="32" xfId="0" applyNumberFormat="1" applyFont="1" applyFill="1" applyBorder="1" applyAlignment="1">
      <alignment horizontal="right" vertical="center"/>
    </xf>
    <xf numFmtId="1" fontId="24" fillId="9" borderId="33" xfId="0" applyNumberFormat="1" applyFont="1" applyFill="1" applyBorder="1" applyAlignment="1">
      <alignment horizontal="right" vertical="center"/>
    </xf>
    <xf numFmtId="1" fontId="24" fillId="8" borderId="69" xfId="0" applyNumberFormat="1" applyFont="1" applyFill="1" applyBorder="1" applyAlignment="1">
      <alignment horizontal="right" vertical="center"/>
    </xf>
    <xf numFmtId="1" fontId="24" fillId="8" borderId="70" xfId="0" applyNumberFormat="1" applyFont="1" applyFill="1" applyBorder="1" applyAlignment="1">
      <alignment horizontal="right" vertical="center"/>
    </xf>
    <xf numFmtId="1" fontId="24" fillId="8" borderId="71" xfId="0" applyNumberFormat="1" applyFont="1" applyFill="1" applyBorder="1" applyAlignment="1">
      <alignment horizontal="right" vertical="center"/>
    </xf>
    <xf numFmtId="1" fontId="23" fillId="7" borderId="59" xfId="0" applyNumberFormat="1" applyFont="1" applyFill="1" applyBorder="1" applyAlignment="1">
      <alignment horizontal="right" vertical="center"/>
    </xf>
    <xf numFmtId="0" fontId="23" fillId="10" borderId="46" xfId="0" applyFont="1" applyFill="1" applyBorder="1" applyAlignment="1">
      <alignment horizontal="left" vertical="center"/>
    </xf>
    <xf numFmtId="0" fontId="23" fillId="10" borderId="72" xfId="0" applyFont="1" applyFill="1" applyBorder="1" applyAlignment="1">
      <alignment horizontal="center" vertical="center"/>
    </xf>
    <xf numFmtId="0" fontId="22" fillId="10" borderId="18" xfId="0" applyFont="1" applyFill="1" applyBorder="1" applyAlignment="1">
      <alignment horizontal="left" vertical="center"/>
    </xf>
    <xf numFmtId="0" fontId="16" fillId="10" borderId="59" xfId="0" applyFont="1" applyFill="1" applyBorder="1" applyAlignment="1">
      <alignment horizontal="center" vertical="center"/>
    </xf>
    <xf numFmtId="0" fontId="23" fillId="2" borderId="73" xfId="0" applyFont="1" applyFill="1" applyBorder="1" applyAlignment="1">
      <alignment horizontal="left" vertical="center"/>
    </xf>
    <xf numFmtId="0" fontId="23" fillId="2" borderId="35" xfId="0" applyFont="1" applyFill="1" applyBorder="1" applyAlignment="1">
      <alignment horizontal="center" vertical="center"/>
    </xf>
    <xf numFmtId="0" fontId="23" fillId="2" borderId="18" xfId="0" applyFont="1" applyFill="1" applyBorder="1" applyAlignment="1">
      <alignment horizontal="left" vertical="center"/>
    </xf>
    <xf numFmtId="0" fontId="16" fillId="2" borderId="34" xfId="0" applyFont="1" applyFill="1" applyBorder="1" applyAlignment="1">
      <alignment horizontal="center" vertical="center"/>
    </xf>
    <xf numFmtId="0" fontId="16" fillId="8" borderId="28" xfId="0" applyFont="1" applyFill="1" applyBorder="1" applyAlignment="1">
      <alignment horizontal="left" vertical="center"/>
    </xf>
    <xf numFmtId="0" fontId="16" fillId="8" borderId="58" xfId="0" applyFont="1" applyFill="1" applyBorder="1" applyAlignment="1">
      <alignment horizontal="left" vertical="center"/>
    </xf>
    <xf numFmtId="0" fontId="16" fillId="8" borderId="63" xfId="0" applyFont="1" applyFill="1" applyBorder="1" applyAlignment="1">
      <alignment horizontal="left" vertical="center"/>
    </xf>
    <xf numFmtId="0" fontId="16" fillId="7" borderId="18" xfId="0" applyFont="1" applyFill="1" applyBorder="1" applyAlignment="1">
      <alignment horizontal="left" vertical="center"/>
    </xf>
    <xf numFmtId="0" fontId="16" fillId="9" borderId="58" xfId="0" applyFont="1" applyFill="1" applyBorder="1" applyAlignment="1">
      <alignment horizontal="left" vertical="center"/>
    </xf>
    <xf numFmtId="0" fontId="16" fillId="9" borderId="63" xfId="0" applyFont="1" applyFill="1" applyBorder="1" applyAlignment="1">
      <alignment horizontal="left" vertical="center"/>
    </xf>
    <xf numFmtId="0" fontId="16" fillId="2" borderId="18" xfId="0" applyFont="1" applyFill="1" applyBorder="1" applyAlignment="1">
      <alignment horizontal="left" vertical="center"/>
    </xf>
    <xf numFmtId="1" fontId="23" fillId="0" borderId="59" xfId="0" applyNumberFormat="1" applyFont="1" applyBorder="1" applyAlignment="1">
      <alignment horizontal="right" vertical="center"/>
    </xf>
    <xf numFmtId="0" fontId="21" fillId="0" borderId="0" xfId="0" applyFont="1" applyAlignment="1">
      <alignment horizontal="left" vertical="top"/>
    </xf>
    <xf numFmtId="0" fontId="25" fillId="0" borderId="0" xfId="0" applyFont="1" applyAlignment="1">
      <alignment horizontal="left" vertical="top"/>
    </xf>
    <xf numFmtId="164" fontId="0" fillId="0" borderId="0" xfId="0" applyNumberFormat="1" applyAlignment="1">
      <alignment horizontal="left" vertical="top"/>
    </xf>
    <xf numFmtId="165" fontId="0" fillId="0" borderId="0" xfId="0" applyNumberFormat="1" applyAlignment="1">
      <alignment horizontal="left" vertical="top"/>
    </xf>
    <xf numFmtId="165" fontId="0" fillId="0" borderId="0" xfId="0" applyNumberFormat="1" applyAlignment="1">
      <alignment horizontal="center" vertical="top"/>
    </xf>
    <xf numFmtId="0" fontId="27" fillId="0" borderId="18" xfId="1" applyFont="1" applyBorder="1" applyAlignment="1">
      <alignment horizontal="center"/>
    </xf>
    <xf numFmtId="17" fontId="27" fillId="12" borderId="18" xfId="1" applyNumberFormat="1" applyFont="1" applyFill="1" applyBorder="1" applyAlignment="1">
      <alignment horizontal="center"/>
    </xf>
    <xf numFmtId="17" fontId="27" fillId="12" borderId="10" xfId="1" applyNumberFormat="1" applyFont="1" applyFill="1" applyBorder="1" applyAlignment="1">
      <alignment horizontal="center"/>
    </xf>
    <xf numFmtId="17" fontId="27" fillId="12" borderId="59" xfId="1" applyNumberFormat="1" applyFont="1" applyFill="1" applyBorder="1" applyAlignment="1">
      <alignment horizontal="center"/>
    </xf>
    <xf numFmtId="17" fontId="27" fillId="12" borderId="27" xfId="1" applyNumberFormat="1" applyFont="1" applyFill="1" applyBorder="1" applyAlignment="1">
      <alignment horizontal="center"/>
    </xf>
    <xf numFmtId="0" fontId="7" fillId="0" borderId="0" xfId="1"/>
    <xf numFmtId="0" fontId="7" fillId="13" borderId="28" xfId="1" applyFill="1" applyBorder="1"/>
    <xf numFmtId="0" fontId="26" fillId="0" borderId="28" xfId="1" applyFont="1" applyBorder="1" applyAlignment="1">
      <alignment horizontal="right"/>
    </xf>
    <xf numFmtId="0" fontId="7" fillId="0" borderId="4" xfId="1" applyBorder="1" applyAlignment="1">
      <alignment horizontal="right"/>
    </xf>
    <xf numFmtId="0" fontId="7" fillId="0" borderId="77" xfId="1" applyBorder="1"/>
    <xf numFmtId="0" fontId="26" fillId="0" borderId="5" xfId="1" applyFont="1" applyBorder="1" applyAlignment="1">
      <alignment horizontal="right"/>
    </xf>
    <xf numFmtId="0" fontId="7" fillId="0" borderId="5" xfId="1" applyBorder="1" applyAlignment="1">
      <alignment horizontal="right"/>
    </xf>
    <xf numFmtId="0" fontId="7" fillId="0" borderId="31" xfId="1" applyBorder="1" applyAlignment="1">
      <alignment horizontal="right"/>
    </xf>
    <xf numFmtId="0" fontId="7" fillId="0" borderId="40" xfId="1" applyBorder="1" applyAlignment="1">
      <alignment horizontal="right"/>
    </xf>
    <xf numFmtId="0" fontId="7" fillId="13" borderId="73" xfId="1" applyFill="1" applyBorder="1"/>
    <xf numFmtId="0" fontId="26" fillId="0" borderId="58" xfId="1" applyFont="1" applyBorder="1" applyAlignment="1">
      <alignment horizontal="right"/>
    </xf>
    <xf numFmtId="0" fontId="7" fillId="0" borderId="6" xfId="1" applyBorder="1" applyAlignment="1">
      <alignment horizontal="right"/>
    </xf>
    <xf numFmtId="0" fontId="26" fillId="0" borderId="1" xfId="1" applyFont="1" applyBorder="1" applyAlignment="1">
      <alignment horizontal="right"/>
    </xf>
    <xf numFmtId="0" fontId="7" fillId="0" borderId="1" xfId="1" applyBorder="1" applyAlignment="1">
      <alignment horizontal="right"/>
    </xf>
    <xf numFmtId="0" fontId="26" fillId="0" borderId="32" xfId="1" applyFont="1" applyBorder="1" applyAlignment="1">
      <alignment horizontal="right"/>
    </xf>
    <xf numFmtId="0" fontId="26" fillId="0" borderId="38" xfId="1" applyFont="1" applyBorder="1" applyAlignment="1">
      <alignment horizontal="right"/>
    </xf>
    <xf numFmtId="0" fontId="7" fillId="13" borderId="64" xfId="1" applyFill="1" applyBorder="1"/>
    <xf numFmtId="0" fontId="7" fillId="0" borderId="64" xfId="1" applyBorder="1" applyAlignment="1">
      <alignment horizontal="right"/>
    </xf>
    <xf numFmtId="0" fontId="7" fillId="0" borderId="7" xfId="1" applyBorder="1" applyAlignment="1">
      <alignment horizontal="right"/>
    </xf>
    <xf numFmtId="0" fontId="7" fillId="0" borderId="8" xfId="1" applyBorder="1" applyAlignment="1">
      <alignment horizontal="right"/>
    </xf>
    <xf numFmtId="0" fontId="7" fillId="0" borderId="36" xfId="1" applyBorder="1" applyAlignment="1">
      <alignment horizontal="right"/>
    </xf>
    <xf numFmtId="0" fontId="7" fillId="0" borderId="39" xfId="1" applyBorder="1" applyAlignment="1">
      <alignment horizontal="right"/>
    </xf>
    <xf numFmtId="0" fontId="7" fillId="0" borderId="28" xfId="1" applyBorder="1" applyAlignment="1">
      <alignment horizontal="right"/>
    </xf>
    <xf numFmtId="0" fontId="7" fillId="6" borderId="40" xfId="1" applyFill="1" applyBorder="1" applyAlignment="1">
      <alignment horizontal="right"/>
    </xf>
    <xf numFmtId="0" fontId="7" fillId="13" borderId="58" xfId="1" applyFill="1" applyBorder="1"/>
    <xf numFmtId="0" fontId="7" fillId="0" borderId="58" xfId="1" applyBorder="1" applyAlignment="1">
      <alignment horizontal="right"/>
    </xf>
    <xf numFmtId="0" fontId="7" fillId="0" borderId="32" xfId="1" applyBorder="1" applyAlignment="1">
      <alignment horizontal="right"/>
    </xf>
    <xf numFmtId="0" fontId="7" fillId="0" borderId="38" xfId="1" applyBorder="1" applyAlignment="1">
      <alignment horizontal="right"/>
    </xf>
    <xf numFmtId="0" fontId="7" fillId="0" borderId="30" xfId="1" applyBorder="1" applyAlignment="1">
      <alignment horizontal="right"/>
    </xf>
    <xf numFmtId="0" fontId="7" fillId="13" borderId="13" xfId="1" applyFill="1" applyBorder="1"/>
    <xf numFmtId="0" fontId="7" fillId="0" borderId="13" xfId="1" applyBorder="1" applyAlignment="1">
      <alignment horizontal="right"/>
    </xf>
    <xf numFmtId="0" fontId="7" fillId="0" borderId="16" xfId="1" applyBorder="1" applyAlignment="1">
      <alignment horizontal="right"/>
    </xf>
    <xf numFmtId="0" fontId="7" fillId="0" borderId="14" xfId="1" applyBorder="1" applyAlignment="1">
      <alignment horizontal="right"/>
    </xf>
    <xf numFmtId="0" fontId="7" fillId="0" borderId="48" xfId="1" applyBorder="1" applyAlignment="1">
      <alignment horizontal="right"/>
    </xf>
    <xf numFmtId="0" fontId="7" fillId="0" borderId="41" xfId="1" applyBorder="1" applyAlignment="1">
      <alignment horizontal="right"/>
    </xf>
    <xf numFmtId="0" fontId="7" fillId="0" borderId="0" xfId="1" applyAlignment="1">
      <alignment horizontal="right"/>
    </xf>
    <xf numFmtId="0" fontId="7" fillId="0" borderId="37" xfId="1" applyBorder="1" applyAlignment="1">
      <alignment horizontal="right"/>
    </xf>
    <xf numFmtId="0" fontId="7" fillId="13" borderId="63" xfId="1" applyFill="1" applyBorder="1"/>
    <xf numFmtId="0" fontId="7" fillId="0" borderId="63" xfId="1" applyBorder="1" applyAlignment="1">
      <alignment horizontal="right"/>
    </xf>
    <xf numFmtId="0" fontId="7" fillId="0" borderId="9" xfId="1" applyBorder="1" applyAlignment="1">
      <alignment horizontal="right"/>
    </xf>
    <xf numFmtId="0" fontId="7" fillId="0" borderId="2" xfId="1" applyBorder="1" applyAlignment="1">
      <alignment horizontal="right"/>
    </xf>
    <xf numFmtId="0" fontId="7" fillId="0" borderId="49" xfId="1" applyBorder="1" applyAlignment="1">
      <alignment horizontal="right"/>
    </xf>
    <xf numFmtId="0" fontId="7" fillId="0" borderId="33" xfId="1" applyBorder="1" applyAlignment="1">
      <alignment horizontal="right"/>
    </xf>
    <xf numFmtId="0" fontId="7" fillId="0" borderId="60" xfId="1" applyBorder="1"/>
    <xf numFmtId="0" fontId="7" fillId="0" borderId="38" xfId="1" applyBorder="1"/>
    <xf numFmtId="0" fontId="7" fillId="0" borderId="53" xfId="1" applyBorder="1" applyAlignment="1">
      <alignment horizontal="right"/>
    </xf>
    <xf numFmtId="0" fontId="7" fillId="0" borderId="25" xfId="1" applyBorder="1"/>
    <xf numFmtId="0" fontId="7" fillId="14" borderId="78" xfId="1" applyFill="1" applyBorder="1" applyAlignment="1">
      <alignment horizontal="right"/>
    </xf>
    <xf numFmtId="0" fontId="7" fillId="0" borderId="73" xfId="1" applyBorder="1" applyAlignment="1">
      <alignment horizontal="right"/>
    </xf>
    <xf numFmtId="0" fontId="7" fillId="0" borderId="15" xfId="1" applyBorder="1" applyAlignment="1">
      <alignment horizontal="right"/>
    </xf>
    <xf numFmtId="0" fontId="7" fillId="0" borderId="3" xfId="1" applyBorder="1" applyAlignment="1">
      <alignment horizontal="right"/>
    </xf>
    <xf numFmtId="0" fontId="7" fillId="0" borderId="46" xfId="1" applyBorder="1" applyAlignment="1">
      <alignment horizontal="right"/>
    </xf>
    <xf numFmtId="0" fontId="7" fillId="0" borderId="43" xfId="1" applyBorder="1" applyAlignment="1">
      <alignment horizontal="right"/>
    </xf>
    <xf numFmtId="0" fontId="7" fillId="0" borderId="44" xfId="1" applyBorder="1" applyAlignment="1">
      <alignment horizontal="right"/>
    </xf>
    <xf numFmtId="0" fontId="7" fillId="13" borderId="79" xfId="1" applyFill="1" applyBorder="1"/>
    <xf numFmtId="0" fontId="7" fillId="14" borderId="42" xfId="1" applyFill="1" applyBorder="1" applyAlignment="1">
      <alignment horizontal="right"/>
    </xf>
    <xf numFmtId="0" fontId="7" fillId="0" borderId="47" xfId="1" applyBorder="1" applyAlignment="1">
      <alignment horizontal="right"/>
    </xf>
    <xf numFmtId="0" fontId="7" fillId="13" borderId="17" xfId="1" applyFill="1" applyBorder="1"/>
    <xf numFmtId="0" fontId="7" fillId="0" borderId="17" xfId="1" applyBorder="1" applyAlignment="1">
      <alignment horizontal="right"/>
    </xf>
    <xf numFmtId="0" fontId="7" fillId="0" borderId="51" xfId="1" applyBorder="1" applyAlignment="1">
      <alignment horizontal="right"/>
    </xf>
    <xf numFmtId="0" fontId="7" fillId="0" borderId="54" xfId="1" applyBorder="1" applyAlignment="1">
      <alignment horizontal="right"/>
    </xf>
    <xf numFmtId="0" fontId="7" fillId="0" borderId="55" xfId="1" applyBorder="1" applyAlignment="1">
      <alignment horizontal="right"/>
    </xf>
    <xf numFmtId="0" fontId="7" fillId="0" borderId="18" xfId="1" applyBorder="1"/>
    <xf numFmtId="0" fontId="26" fillId="0" borderId="18" xfId="1" applyFont="1" applyBorder="1" applyAlignment="1">
      <alignment horizontal="right"/>
    </xf>
    <xf numFmtId="0" fontId="26" fillId="0" borderId="56" xfId="1" applyFont="1" applyBorder="1" applyAlignment="1">
      <alignment horizontal="right"/>
    </xf>
    <xf numFmtId="0" fontId="27" fillId="0" borderId="75" xfId="1" applyFont="1" applyBorder="1" applyAlignment="1">
      <alignment horizontal="center"/>
    </xf>
    <xf numFmtId="0" fontId="7" fillId="15" borderId="28" xfId="1" applyFill="1" applyBorder="1"/>
    <xf numFmtId="0" fontId="7" fillId="0" borderId="50" xfId="1" applyBorder="1" applyAlignment="1">
      <alignment horizontal="right"/>
    </xf>
    <xf numFmtId="0" fontId="7" fillId="0" borderId="35" xfId="1" applyBorder="1" applyAlignment="1">
      <alignment horizontal="right"/>
    </xf>
    <xf numFmtId="0" fontId="7" fillId="15" borderId="73" xfId="1" applyFill="1" applyBorder="1"/>
    <xf numFmtId="0" fontId="7" fillId="15" borderId="13" xfId="1" applyFill="1" applyBorder="1"/>
    <xf numFmtId="0" fontId="7" fillId="0" borderId="5" xfId="1" applyBorder="1"/>
    <xf numFmtId="0" fontId="7" fillId="15" borderId="17" xfId="1" applyFill="1" applyBorder="1"/>
    <xf numFmtId="0" fontId="7" fillId="0" borderId="53" xfId="1" applyBorder="1"/>
    <xf numFmtId="0" fontId="7" fillId="0" borderId="24" xfId="1" applyBorder="1"/>
    <xf numFmtId="0" fontId="7" fillId="15" borderId="58" xfId="1" applyFill="1" applyBorder="1"/>
    <xf numFmtId="0" fontId="7" fillId="15" borderId="64" xfId="1" applyFill="1" applyBorder="1"/>
    <xf numFmtId="0" fontId="7" fillId="15" borderId="63" xfId="1" applyFill="1" applyBorder="1"/>
    <xf numFmtId="0" fontId="7" fillId="0" borderId="2" xfId="1" applyBorder="1"/>
    <xf numFmtId="0" fontId="7" fillId="15" borderId="79" xfId="1" applyFill="1" applyBorder="1"/>
    <xf numFmtId="0" fontId="7" fillId="0" borderId="79" xfId="1" applyBorder="1" applyAlignment="1">
      <alignment horizontal="right"/>
    </xf>
    <xf numFmtId="0" fontId="7" fillId="0" borderId="56" xfId="1" applyBorder="1" applyAlignment="1">
      <alignment horizontal="right"/>
    </xf>
    <xf numFmtId="0" fontId="7" fillId="0" borderId="65" xfId="1" applyBorder="1" applyAlignment="1">
      <alignment horizontal="right"/>
    </xf>
    <xf numFmtId="0" fontId="7" fillId="0" borderId="62" xfId="1" applyBorder="1" applyAlignment="1">
      <alignment horizontal="right"/>
    </xf>
    <xf numFmtId="0" fontId="7" fillId="0" borderId="57" xfId="1" applyBorder="1" applyAlignment="1">
      <alignment horizontal="right"/>
    </xf>
    <xf numFmtId="0" fontId="26" fillId="0" borderId="10" xfId="1" applyFont="1" applyBorder="1" applyAlignment="1">
      <alignment horizontal="right"/>
    </xf>
    <xf numFmtId="0" fontId="26" fillId="0" borderId="59" xfId="1" applyFont="1" applyBorder="1" applyAlignment="1">
      <alignment horizontal="right"/>
    </xf>
    <xf numFmtId="0" fontId="7" fillId="0" borderId="59" xfId="1" applyBorder="1"/>
    <xf numFmtId="0" fontId="7" fillId="0" borderId="17" xfId="1" applyBorder="1"/>
    <xf numFmtId="0" fontId="7" fillId="0" borderId="12" xfId="1" applyBorder="1"/>
    <xf numFmtId="0" fontId="7" fillId="0" borderId="27" xfId="1" applyBorder="1"/>
    <xf numFmtId="0" fontId="26" fillId="12" borderId="18" xfId="1" applyFont="1" applyFill="1" applyBorder="1"/>
    <xf numFmtId="0" fontId="26" fillId="12" borderId="18" xfId="1" applyFont="1" applyFill="1" applyBorder="1" applyAlignment="1">
      <alignment horizontal="right"/>
    </xf>
    <xf numFmtId="0" fontId="26" fillId="12" borderId="59" xfId="1" applyFont="1" applyFill="1" applyBorder="1" applyAlignment="1">
      <alignment horizontal="right"/>
    </xf>
    <xf numFmtId="0" fontId="7" fillId="11" borderId="4" xfId="1" applyFill="1" applyBorder="1"/>
    <xf numFmtId="0" fontId="7" fillId="0" borderId="31" xfId="1" applyBorder="1"/>
    <xf numFmtId="0" fontId="7" fillId="11" borderId="6" xfId="1" applyFill="1" applyBorder="1"/>
    <xf numFmtId="0" fontId="7" fillId="0" borderId="32" xfId="1" applyBorder="1"/>
    <xf numFmtId="0" fontId="7" fillId="11" borderId="7" xfId="1" applyFill="1" applyBorder="1"/>
    <xf numFmtId="0" fontId="7" fillId="0" borderId="36" xfId="1" applyBorder="1"/>
    <xf numFmtId="0" fontId="7" fillId="0" borderId="59" xfId="1" applyBorder="1" applyAlignment="1">
      <alignment horizontal="center" vertical="center"/>
    </xf>
    <xf numFmtId="0" fontId="26" fillId="0" borderId="16" xfId="1" applyFont="1" applyBorder="1"/>
    <xf numFmtId="0" fontId="26" fillId="0" borderId="14" xfId="1" applyFont="1" applyBorder="1"/>
    <xf numFmtId="0" fontId="26" fillId="0" borderId="48" xfId="1" applyFont="1" applyBorder="1" applyAlignment="1">
      <alignment horizontal="center"/>
    </xf>
    <xf numFmtId="0" fontId="26" fillId="0" borderId="37" xfId="1" applyFont="1" applyBorder="1"/>
    <xf numFmtId="0" fontId="6" fillId="0" borderId="18" xfId="1" applyFont="1" applyBorder="1"/>
    <xf numFmtId="0" fontId="5" fillId="0" borderId="0" xfId="1" applyFont="1"/>
    <xf numFmtId="0" fontId="5" fillId="0" borderId="18" xfId="1" applyFont="1" applyBorder="1"/>
    <xf numFmtId="0" fontId="7" fillId="0" borderId="79" xfId="1" applyBorder="1"/>
    <xf numFmtId="0" fontId="7" fillId="0" borderId="80" xfId="1" applyBorder="1"/>
    <xf numFmtId="0" fontId="7" fillId="0" borderId="0" xfId="1" applyAlignment="1">
      <alignment horizontal="center"/>
    </xf>
    <xf numFmtId="0" fontId="5" fillId="0" borderId="12" xfId="1" applyFont="1" applyBorder="1"/>
    <xf numFmtId="0" fontId="4" fillId="0" borderId="0" xfId="1" applyFont="1"/>
    <xf numFmtId="0" fontId="4" fillId="0" borderId="13" xfId="1" applyFont="1" applyBorder="1"/>
    <xf numFmtId="0" fontId="7" fillId="0" borderId="26" xfId="1" applyBorder="1"/>
    <xf numFmtId="0" fontId="7" fillId="0" borderId="13" xfId="1" applyBorder="1"/>
    <xf numFmtId="0" fontId="6" fillId="3" borderId="7" xfId="1" applyFont="1" applyFill="1" applyBorder="1"/>
    <xf numFmtId="0" fontId="7" fillId="3" borderId="8" xfId="1" applyFill="1" applyBorder="1"/>
    <xf numFmtId="0" fontId="7" fillId="3" borderId="8" xfId="1" applyFill="1" applyBorder="1" applyAlignment="1">
      <alignment horizontal="center"/>
    </xf>
    <xf numFmtId="0" fontId="7" fillId="3" borderId="36" xfId="1" applyFill="1" applyBorder="1"/>
    <xf numFmtId="0" fontId="3" fillId="0" borderId="0" xfId="1" applyFont="1"/>
    <xf numFmtId="0" fontId="7" fillId="16" borderId="4" xfId="1" applyFill="1" applyBorder="1"/>
    <xf numFmtId="0" fontId="7" fillId="16" borderId="5" xfId="1" applyFill="1" applyBorder="1"/>
    <xf numFmtId="0" fontId="7" fillId="16" borderId="5" xfId="1" applyFill="1" applyBorder="1" applyAlignment="1">
      <alignment horizontal="center"/>
    </xf>
    <xf numFmtId="0" fontId="7" fillId="16" borderId="31" xfId="1" applyFill="1" applyBorder="1"/>
    <xf numFmtId="0" fontId="6" fillId="11" borderId="6" xfId="1" applyFont="1" applyFill="1" applyBorder="1"/>
    <xf numFmtId="0" fontId="7" fillId="11" borderId="1" xfId="1" applyFill="1" applyBorder="1"/>
    <xf numFmtId="0" fontId="7" fillId="11" borderId="1" xfId="1" applyFill="1" applyBorder="1" applyAlignment="1">
      <alignment horizontal="center"/>
    </xf>
    <xf numFmtId="0" fontId="7" fillId="11" borderId="32" xfId="1" applyFill="1" applyBorder="1"/>
    <xf numFmtId="0" fontId="7" fillId="4" borderId="26" xfId="1" applyFill="1" applyBorder="1"/>
    <xf numFmtId="165" fontId="0" fillId="0" borderId="24" xfId="0" applyNumberFormat="1" applyBorder="1" applyAlignment="1">
      <alignment horizontal="center" vertical="center"/>
    </xf>
    <xf numFmtId="165" fontId="0" fillId="0" borderId="25" xfId="0" applyNumberFormat="1" applyBorder="1" applyAlignment="1">
      <alignment horizontal="center" vertical="center"/>
    </xf>
    <xf numFmtId="165" fontId="0" fillId="0" borderId="77" xfId="0" applyNumberFormat="1" applyBorder="1" applyAlignment="1">
      <alignment horizontal="left" vertical="top"/>
    </xf>
    <xf numFmtId="165" fontId="0" fillId="0" borderId="80" xfId="0" applyNumberFormat="1" applyBorder="1" applyAlignment="1">
      <alignment horizontal="left" vertical="top"/>
    </xf>
    <xf numFmtId="0" fontId="21" fillId="0" borderId="24" xfId="0" quotePrefix="1" applyFont="1" applyBorder="1" applyAlignment="1">
      <alignment horizontal="center" vertical="top"/>
    </xf>
    <xf numFmtId="0" fontId="0" fillId="0" borderId="25" xfId="0" applyBorder="1" applyAlignment="1">
      <alignment horizontal="center" vertical="top"/>
    </xf>
    <xf numFmtId="165" fontId="0" fillId="0" borderId="77" xfId="0" applyNumberFormat="1" applyBorder="1" applyAlignment="1">
      <alignment horizontal="center" vertical="top"/>
    </xf>
    <xf numFmtId="165" fontId="0" fillId="0" borderId="80" xfId="0" applyNumberFormat="1" applyBorder="1" applyAlignment="1">
      <alignment horizontal="center" vertical="top"/>
    </xf>
    <xf numFmtId="0" fontId="21" fillId="0" borderId="75" xfId="0" applyFont="1" applyBorder="1" applyAlignment="1">
      <alignment horizontal="left" vertical="top"/>
    </xf>
    <xf numFmtId="0" fontId="21" fillId="0" borderId="81" xfId="0" applyFont="1" applyBorder="1" applyAlignment="1">
      <alignment horizontal="left" vertical="center"/>
    </xf>
    <xf numFmtId="0" fontId="21" fillId="0" borderId="76" xfId="0" applyFont="1" applyBorder="1" applyAlignment="1">
      <alignment horizontal="left" vertical="center"/>
    </xf>
    <xf numFmtId="0" fontId="0" fillId="0" borderId="76" xfId="0" applyBorder="1" applyAlignment="1">
      <alignment horizontal="left" vertical="top"/>
    </xf>
    <xf numFmtId="0" fontId="21" fillId="0" borderId="76" xfId="0" applyFont="1" applyBorder="1" applyAlignment="1">
      <alignment horizontal="left" vertical="top"/>
    </xf>
    <xf numFmtId="0" fontId="21" fillId="0" borderId="69" xfId="0" applyFont="1" applyBorder="1" applyAlignment="1">
      <alignment horizontal="left" vertical="top"/>
    </xf>
    <xf numFmtId="165" fontId="0" fillId="0" borderId="26" xfId="0" applyNumberFormat="1" applyBorder="1" applyAlignment="1">
      <alignment horizontal="left" vertical="top"/>
    </xf>
    <xf numFmtId="0" fontId="21" fillId="0" borderId="18" xfId="0" applyFont="1" applyBorder="1" applyAlignment="1">
      <alignment horizontal="left" vertical="top"/>
    </xf>
    <xf numFmtId="164" fontId="0" fillId="0" borderId="12" xfId="0" applyNumberFormat="1" applyBorder="1" applyAlignment="1">
      <alignment horizontal="left" vertical="top"/>
    </xf>
    <xf numFmtId="164" fontId="0" fillId="0" borderId="27" xfId="0" applyNumberFormat="1" applyBorder="1" applyAlignment="1">
      <alignment horizontal="left" vertical="top"/>
    </xf>
    <xf numFmtId="165" fontId="0" fillId="0" borderId="18" xfId="0" applyNumberFormat="1" applyBorder="1" applyAlignment="1">
      <alignment horizontal="left" vertical="top"/>
    </xf>
    <xf numFmtId="165" fontId="0" fillId="0" borderId="12" xfId="0" applyNumberFormat="1" applyBorder="1" applyAlignment="1">
      <alignment horizontal="left" vertical="top"/>
    </xf>
    <xf numFmtId="165" fontId="0" fillId="0" borderId="27" xfId="0" applyNumberFormat="1" applyBorder="1" applyAlignment="1">
      <alignment horizontal="left" vertical="top"/>
    </xf>
    <xf numFmtId="165" fontId="0" fillId="0" borderId="29" xfId="0" applyNumberFormat="1" applyBorder="1" applyAlignment="1">
      <alignment horizontal="center" vertical="top"/>
    </xf>
    <xf numFmtId="165" fontId="0" fillId="0" borderId="30" xfId="0" applyNumberFormat="1" applyBorder="1" applyAlignment="1">
      <alignment horizontal="center" vertical="top"/>
    </xf>
    <xf numFmtId="0" fontId="2" fillId="13" borderId="28" xfId="1" applyFont="1" applyFill="1" applyBorder="1"/>
    <xf numFmtId="0" fontId="7" fillId="0" borderId="8" xfId="1" applyBorder="1"/>
    <xf numFmtId="0" fontId="2" fillId="13" borderId="73" xfId="1" applyFont="1" applyFill="1" applyBorder="1"/>
    <xf numFmtId="0" fontId="7" fillId="3" borderId="2" xfId="1" applyFill="1" applyBorder="1" applyAlignment="1">
      <alignment horizontal="right"/>
    </xf>
    <xf numFmtId="0" fontId="7" fillId="3" borderId="1" xfId="1" applyFill="1" applyBorder="1" applyAlignment="1">
      <alignment horizontal="right"/>
    </xf>
    <xf numFmtId="0" fontId="7" fillId="3" borderId="8" xfId="1" applyFill="1" applyBorder="1" applyAlignment="1">
      <alignment horizontal="right"/>
    </xf>
    <xf numFmtId="0" fontId="2" fillId="15" borderId="28" xfId="1" applyFont="1" applyFill="1" applyBorder="1"/>
    <xf numFmtId="0" fontId="7" fillId="3" borderId="5" xfId="1" applyFill="1" applyBorder="1" applyAlignment="1">
      <alignment horizontal="right"/>
    </xf>
    <xf numFmtId="0" fontId="2" fillId="13" borderId="58" xfId="1" applyFont="1" applyFill="1" applyBorder="1"/>
    <xf numFmtId="0" fontId="7" fillId="0" borderId="42" xfId="1" applyBorder="1" applyAlignment="1">
      <alignment horizontal="right"/>
    </xf>
    <xf numFmtId="0" fontId="7" fillId="14" borderId="43" xfId="1" applyFill="1" applyBorder="1" applyAlignment="1">
      <alignment horizontal="right"/>
    </xf>
    <xf numFmtId="0" fontId="7" fillId="6" borderId="29" xfId="1" applyFill="1" applyBorder="1" applyAlignment="1">
      <alignment horizontal="right"/>
    </xf>
    <xf numFmtId="0" fontId="7" fillId="3" borderId="44" xfId="1" applyFill="1" applyBorder="1" applyAlignment="1">
      <alignment horizontal="right"/>
    </xf>
    <xf numFmtId="0" fontId="7" fillId="3" borderId="43" xfId="1" applyFill="1" applyBorder="1" applyAlignment="1">
      <alignment horizontal="right"/>
    </xf>
    <xf numFmtId="0" fontId="7" fillId="3" borderId="42" xfId="1" applyFill="1" applyBorder="1" applyAlignment="1">
      <alignment horizontal="right"/>
    </xf>
    <xf numFmtId="0" fontId="7" fillId="0" borderId="52" xfId="1" applyBorder="1" applyAlignment="1">
      <alignment horizontal="right"/>
    </xf>
    <xf numFmtId="0" fontId="26" fillId="0" borderId="79" xfId="1" applyFont="1" applyBorder="1" applyAlignment="1">
      <alignment horizontal="right"/>
    </xf>
    <xf numFmtId="0" fontId="26" fillId="0" borderId="4" xfId="1" applyFont="1" applyBorder="1" applyAlignment="1">
      <alignment horizontal="right"/>
    </xf>
    <xf numFmtId="0" fontId="26" fillId="0" borderId="6" xfId="1" applyFont="1" applyBorder="1" applyAlignment="1">
      <alignment horizontal="right"/>
    </xf>
    <xf numFmtId="0" fontId="26" fillId="0" borderId="82" xfId="1" applyFont="1" applyBorder="1" applyAlignment="1">
      <alignment horizontal="right"/>
    </xf>
    <xf numFmtId="0" fontId="7" fillId="0" borderId="82" xfId="1" applyBorder="1" applyAlignment="1">
      <alignment horizontal="right"/>
    </xf>
    <xf numFmtId="0" fontId="7" fillId="0" borderId="78" xfId="1" applyBorder="1" applyAlignment="1">
      <alignment horizontal="right"/>
    </xf>
    <xf numFmtId="0" fontId="7" fillId="0" borderId="66" xfId="1" applyBorder="1" applyAlignment="1">
      <alignment horizontal="right"/>
    </xf>
    <xf numFmtId="0" fontId="7" fillId="0" borderId="26" xfId="1" applyBorder="1" applyAlignment="1">
      <alignment horizontal="right"/>
    </xf>
    <xf numFmtId="0" fontId="7" fillId="3" borderId="9" xfId="1" applyFill="1" applyBorder="1" applyAlignment="1">
      <alignment horizontal="right"/>
    </xf>
    <xf numFmtId="0" fontId="7" fillId="0" borderId="67" xfId="1" applyBorder="1" applyAlignment="1">
      <alignment horizontal="right"/>
    </xf>
    <xf numFmtId="0" fontId="7" fillId="3" borderId="6" xfId="1" applyFill="1" applyBorder="1" applyAlignment="1">
      <alignment horizontal="right"/>
    </xf>
    <xf numFmtId="0" fontId="7" fillId="0" borderId="82" xfId="1" applyBorder="1"/>
    <xf numFmtId="0" fontId="7" fillId="0" borderId="25" xfId="1" applyBorder="1" applyAlignment="1">
      <alignment horizontal="right"/>
    </xf>
    <xf numFmtId="0" fontId="7" fillId="0" borderId="29" xfId="1" applyBorder="1" applyAlignment="1">
      <alignment horizontal="right"/>
    </xf>
    <xf numFmtId="0" fontId="7" fillId="0" borderId="61" xfId="1" applyBorder="1" applyAlignment="1">
      <alignment horizontal="right"/>
    </xf>
    <xf numFmtId="0" fontId="7" fillId="0" borderId="74" xfId="1" applyBorder="1" applyAlignment="1">
      <alignment horizontal="right"/>
    </xf>
    <xf numFmtId="0" fontId="7" fillId="0" borderId="4" xfId="1" applyBorder="1"/>
    <xf numFmtId="0" fontId="7" fillId="0" borderId="51" xfId="1" applyBorder="1"/>
    <xf numFmtId="0" fontId="26" fillId="0" borderId="31" xfId="1" applyFont="1" applyBorder="1" applyAlignment="1">
      <alignment horizontal="right"/>
    </xf>
    <xf numFmtId="0" fontId="7" fillId="3" borderId="3" xfId="1" applyFill="1" applyBorder="1" applyAlignment="1">
      <alignment horizontal="right"/>
    </xf>
    <xf numFmtId="0" fontId="7" fillId="3" borderId="35" xfId="1" applyFill="1" applyBorder="1" applyAlignment="1">
      <alignment horizontal="right"/>
    </xf>
    <xf numFmtId="0" fontId="7" fillId="0" borderId="39" xfId="1" applyBorder="1"/>
    <xf numFmtId="0" fontId="7" fillId="3" borderId="33" xfId="1" applyFill="1" applyBorder="1" applyAlignment="1">
      <alignment horizontal="right"/>
    </xf>
    <xf numFmtId="0" fontId="7" fillId="3" borderId="32" xfId="1" applyFill="1" applyBorder="1" applyAlignment="1">
      <alignment horizontal="right"/>
    </xf>
    <xf numFmtId="0" fontId="7" fillId="0" borderId="1" xfId="1" applyBorder="1"/>
    <xf numFmtId="0" fontId="7" fillId="0" borderId="11" xfId="1" applyBorder="1" applyAlignment="1">
      <alignment horizontal="right"/>
    </xf>
    <xf numFmtId="0" fontId="7" fillId="0" borderId="7" xfId="1" applyBorder="1"/>
    <xf numFmtId="0" fontId="1" fillId="15" borderId="13" xfId="1" applyFont="1" applyFill="1" applyBorder="1"/>
    <xf numFmtId="0" fontId="7" fillId="17" borderId="3" xfId="1" applyFill="1" applyBorder="1" applyAlignment="1">
      <alignment horizontal="right"/>
    </xf>
    <xf numFmtId="0" fontId="7" fillId="13" borderId="24" xfId="1" applyFill="1" applyBorder="1"/>
    <xf numFmtId="0" fontId="7" fillId="13" borderId="1" xfId="1" applyFill="1" applyBorder="1" applyAlignment="1">
      <alignment horizontal="right"/>
    </xf>
    <xf numFmtId="0" fontId="7" fillId="13" borderId="8" xfId="1" applyFill="1" applyBorder="1"/>
    <xf numFmtId="0" fontId="7" fillId="13" borderId="5" xfId="1" applyFill="1" applyBorder="1" applyAlignment="1">
      <alignment horizontal="right"/>
    </xf>
    <xf numFmtId="0" fontId="7" fillId="13" borderId="67" xfId="1" applyFill="1" applyBorder="1" applyAlignment="1">
      <alignment horizontal="right"/>
    </xf>
    <xf numFmtId="0" fontId="7" fillId="0" borderId="10" xfId="1" applyBorder="1"/>
    <xf numFmtId="0" fontId="7" fillId="0" borderId="10" xfId="1" applyBorder="1" applyAlignment="1">
      <alignment horizontal="right"/>
    </xf>
    <xf numFmtId="0" fontId="1" fillId="13" borderId="64" xfId="1" applyFont="1" applyFill="1" applyBorder="1"/>
    <xf numFmtId="0" fontId="1" fillId="15" borderId="73" xfId="1" applyFont="1" applyFill="1" applyBorder="1"/>
    <xf numFmtId="0" fontId="29" fillId="0" borderId="0" xfId="2" applyAlignment="1">
      <alignment horizontal="left" vertical="center"/>
    </xf>
    <xf numFmtId="0" fontId="14" fillId="7" borderId="68" xfId="2" applyFont="1" applyFill="1" applyBorder="1" applyAlignment="1">
      <alignment horizontal="left" vertical="center" wrapText="1"/>
    </xf>
    <xf numFmtId="0" fontId="8" fillId="7" borderId="4" xfId="2" applyFont="1" applyFill="1" applyBorder="1" applyAlignment="1">
      <alignment horizontal="center" vertical="center" wrapText="1"/>
    </xf>
    <xf numFmtId="0" fontId="8" fillId="7" borderId="5" xfId="2" applyFont="1" applyFill="1" applyBorder="1" applyAlignment="1">
      <alignment horizontal="center" vertical="center" wrapText="1"/>
    </xf>
    <xf numFmtId="0" fontId="8" fillId="7" borderId="42" xfId="2" applyFont="1" applyFill="1" applyBorder="1" applyAlignment="1">
      <alignment horizontal="center" vertical="center" wrapText="1"/>
    </xf>
    <xf numFmtId="0" fontId="8" fillId="7" borderId="31" xfId="2" applyFont="1" applyFill="1" applyBorder="1" applyAlignment="1">
      <alignment horizontal="center" vertical="center" wrapText="1"/>
    </xf>
    <xf numFmtId="0" fontId="8" fillId="7" borderId="40" xfId="2" applyFont="1" applyFill="1" applyBorder="1" applyAlignment="1">
      <alignment horizontal="center" vertical="center" wrapText="1"/>
    </xf>
    <xf numFmtId="0" fontId="14" fillId="7" borderId="23" xfId="2" applyFont="1" applyFill="1" applyBorder="1" applyAlignment="1">
      <alignment horizontal="left" vertical="center" wrapText="1"/>
    </xf>
    <xf numFmtId="1" fontId="11" fillId="7" borderId="7" xfId="2" applyNumberFormat="1" applyFont="1" applyFill="1" applyBorder="1" applyAlignment="1">
      <alignment horizontal="center" vertical="center" shrinkToFit="1"/>
    </xf>
    <xf numFmtId="1" fontId="11" fillId="7" borderId="8" xfId="2" applyNumberFormat="1" applyFont="1" applyFill="1" applyBorder="1" applyAlignment="1">
      <alignment horizontal="center" vertical="center" shrinkToFit="1"/>
    </xf>
    <xf numFmtId="1" fontId="11" fillId="7" borderId="47" xfId="2" applyNumberFormat="1" applyFont="1" applyFill="1" applyBorder="1" applyAlignment="1">
      <alignment horizontal="center" vertical="center" shrinkToFit="1"/>
    </xf>
    <xf numFmtId="1" fontId="11" fillId="7" borderId="36" xfId="2" applyNumberFormat="1" applyFont="1" applyFill="1" applyBorder="1" applyAlignment="1">
      <alignment horizontal="center" vertical="center" shrinkToFit="1"/>
    </xf>
    <xf numFmtId="1" fontId="11" fillId="7" borderId="39" xfId="2" applyNumberFormat="1" applyFont="1" applyFill="1" applyBorder="1" applyAlignment="1">
      <alignment horizontal="center" vertical="center" shrinkToFit="1"/>
    </xf>
    <xf numFmtId="0" fontId="8" fillId="7" borderId="8" xfId="2" applyFont="1" applyFill="1" applyBorder="1" applyAlignment="1">
      <alignment horizontal="center" vertical="center" wrapText="1"/>
    </xf>
    <xf numFmtId="0" fontId="8" fillId="7" borderId="36" xfId="2" applyFont="1" applyFill="1" applyBorder="1" applyAlignment="1">
      <alignment horizontal="center" vertical="center" wrapText="1"/>
    </xf>
    <xf numFmtId="0" fontId="8" fillId="7" borderId="7" xfId="2" applyFont="1" applyFill="1" applyBorder="1" applyAlignment="1">
      <alignment horizontal="center" vertical="center" wrapText="1"/>
    </xf>
    <xf numFmtId="0" fontId="8" fillId="7" borderId="47" xfId="2" applyFont="1" applyFill="1" applyBorder="1" applyAlignment="1">
      <alignment horizontal="center" vertical="center" wrapText="1"/>
    </xf>
    <xf numFmtId="0" fontId="8" fillId="7" borderId="39" xfId="2" applyFont="1" applyFill="1" applyBorder="1" applyAlignment="1">
      <alignment horizontal="center" vertical="center" wrapText="1"/>
    </xf>
    <xf numFmtId="1" fontId="15" fillId="7" borderId="4" xfId="2" applyNumberFormat="1" applyFont="1" applyFill="1" applyBorder="1" applyAlignment="1">
      <alignment horizontal="right" vertical="center" shrinkToFit="1"/>
    </xf>
    <xf numFmtId="0" fontId="17" fillId="7" borderId="42" xfId="2" applyFont="1" applyFill="1" applyBorder="1" applyAlignment="1">
      <alignment horizontal="center" vertical="center" wrapText="1"/>
    </xf>
    <xf numFmtId="1" fontId="12" fillId="7" borderId="4" xfId="2" applyNumberFormat="1" applyFont="1" applyFill="1" applyBorder="1" applyAlignment="1">
      <alignment vertical="center" wrapText="1"/>
    </xf>
    <xf numFmtId="1" fontId="12" fillId="7" borderId="5" xfId="2" applyNumberFormat="1" applyFont="1" applyFill="1" applyBorder="1" applyAlignment="1">
      <alignment vertical="center" wrapText="1"/>
    </xf>
    <xf numFmtId="1" fontId="12" fillId="7" borderId="42" xfId="2" applyNumberFormat="1" applyFont="1" applyFill="1" applyBorder="1" applyAlignment="1">
      <alignment vertical="center" wrapText="1"/>
    </xf>
    <xf numFmtId="1" fontId="12" fillId="7" borderId="31" xfId="2" applyNumberFormat="1" applyFont="1" applyFill="1" applyBorder="1" applyAlignment="1">
      <alignment vertical="center" wrapText="1"/>
    </xf>
    <xf numFmtId="1" fontId="12" fillId="7" borderId="40" xfId="2" applyNumberFormat="1" applyFont="1" applyFill="1" applyBorder="1" applyAlignment="1">
      <alignment vertical="center" wrapText="1"/>
    </xf>
    <xf numFmtId="1" fontId="12" fillId="7" borderId="4" xfId="2" applyNumberFormat="1" applyFont="1" applyFill="1" applyBorder="1" applyAlignment="1">
      <alignment horizontal="right" vertical="center" wrapText="1"/>
    </xf>
    <xf numFmtId="0" fontId="12" fillId="0" borderId="0" xfId="2" applyFont="1" applyAlignment="1">
      <alignment horizontal="left" vertical="center"/>
    </xf>
    <xf numFmtId="0" fontId="15" fillId="0" borderId="6" xfId="2" applyFont="1" applyBorder="1" applyAlignment="1">
      <alignment horizontal="left" vertical="center" wrapText="1"/>
    </xf>
    <xf numFmtId="0" fontId="13" fillId="0" borderId="43" xfId="2" applyFont="1" applyBorder="1" applyAlignment="1">
      <alignment horizontal="left" vertical="center" wrapText="1"/>
    </xf>
    <xf numFmtId="1" fontId="12" fillId="0" borderId="6" xfId="2" applyNumberFormat="1" applyFont="1" applyBorder="1" applyAlignment="1">
      <alignment vertical="center" shrinkToFit="1"/>
    </xf>
    <xf numFmtId="1" fontId="12" fillId="0" borderId="1" xfId="2" applyNumberFormat="1" applyFont="1" applyBorder="1" applyAlignment="1">
      <alignment vertical="center" shrinkToFit="1"/>
    </xf>
    <xf numFmtId="1" fontId="12" fillId="0" borderId="43" xfId="2" applyNumberFormat="1" applyFont="1" applyBorder="1" applyAlignment="1">
      <alignment vertical="center" shrinkToFit="1"/>
    </xf>
    <xf numFmtId="1" fontId="12" fillId="0" borderId="6" xfId="2" applyNumberFormat="1" applyFont="1" applyBorder="1" applyAlignment="1">
      <alignment horizontal="right" vertical="center" shrinkToFit="1"/>
    </xf>
    <xf numFmtId="1" fontId="12" fillId="0" borderId="1" xfId="2" applyNumberFormat="1" applyFont="1" applyBorder="1" applyAlignment="1">
      <alignment horizontal="right" vertical="center" shrinkToFit="1"/>
    </xf>
    <xf numFmtId="1" fontId="12" fillId="0" borderId="32" xfId="2" applyNumberFormat="1" applyFont="1" applyBorder="1" applyAlignment="1">
      <alignment horizontal="left" vertical="center" wrapText="1"/>
    </xf>
    <xf numFmtId="1" fontId="12" fillId="0" borderId="38" xfId="2" applyNumberFormat="1" applyFont="1" applyBorder="1" applyAlignment="1">
      <alignment horizontal="right" vertical="center" shrinkToFit="1"/>
    </xf>
    <xf numFmtId="1" fontId="12" fillId="0" borderId="1" xfId="2" applyNumberFormat="1" applyFont="1" applyBorder="1" applyAlignment="1">
      <alignment horizontal="left" vertical="center" wrapText="1"/>
    </xf>
    <xf numFmtId="1" fontId="12" fillId="0" borderId="1" xfId="2" applyNumberFormat="1" applyFont="1" applyBorder="1" applyAlignment="1">
      <alignment horizontal="right" vertical="center" wrapText="1"/>
    </xf>
    <xf numFmtId="1" fontId="12" fillId="0" borderId="32" xfId="2" applyNumberFormat="1" applyFont="1" applyBorder="1" applyAlignment="1">
      <alignment horizontal="right" vertical="center" wrapText="1"/>
    </xf>
    <xf numFmtId="1" fontId="12" fillId="0" borderId="6" xfId="2" applyNumberFormat="1" applyFont="1" applyBorder="1" applyAlignment="1">
      <alignment horizontal="right" vertical="center" wrapText="1"/>
    </xf>
    <xf numFmtId="1" fontId="12" fillId="0" borderId="38" xfId="2" applyNumberFormat="1" applyFont="1" applyBorder="1" applyAlignment="1">
      <alignment horizontal="right" vertical="center" wrapText="1"/>
    </xf>
    <xf numFmtId="1" fontId="12" fillId="0" borderId="43" xfId="2" applyNumberFormat="1" applyFont="1" applyBorder="1" applyAlignment="1">
      <alignment horizontal="right" vertical="center" wrapText="1"/>
    </xf>
    <xf numFmtId="1" fontId="12" fillId="8" borderId="38" xfId="2" applyNumberFormat="1" applyFont="1" applyFill="1" applyBorder="1" applyAlignment="1">
      <alignment horizontal="right" vertical="center" wrapText="1"/>
    </xf>
    <xf numFmtId="1" fontId="12" fillId="8" borderId="32" xfId="2" applyNumberFormat="1" applyFont="1" applyFill="1" applyBorder="1" applyAlignment="1">
      <alignment horizontal="right" vertical="center" wrapText="1"/>
    </xf>
    <xf numFmtId="1" fontId="12" fillId="8" borderId="6" xfId="2" applyNumberFormat="1" applyFont="1" applyFill="1" applyBorder="1" applyAlignment="1">
      <alignment horizontal="right" vertical="center"/>
    </xf>
    <xf numFmtId="0" fontId="12" fillId="8" borderId="32" xfId="2" applyFont="1" applyFill="1" applyBorder="1" applyAlignment="1">
      <alignment horizontal="left" vertical="center"/>
    </xf>
    <xf numFmtId="0" fontId="12" fillId="0" borderId="48" xfId="2" applyFont="1" applyBorder="1" applyAlignment="1">
      <alignment horizontal="left" vertical="center"/>
    </xf>
    <xf numFmtId="1" fontId="12" fillId="3" borderId="38" xfId="2" applyNumberFormat="1" applyFont="1" applyFill="1" applyBorder="1" applyAlignment="1">
      <alignment horizontal="right" vertical="center" wrapText="1"/>
    </xf>
    <xf numFmtId="1" fontId="12" fillId="0" borderId="6" xfId="2" applyNumberFormat="1" applyFont="1" applyBorder="1" applyAlignment="1">
      <alignment vertical="center" wrapText="1"/>
    </xf>
    <xf numFmtId="0" fontId="15" fillId="0" borderId="9" xfId="2" applyFont="1" applyBorder="1" applyAlignment="1">
      <alignment horizontal="left" vertical="center" wrapText="1"/>
    </xf>
    <xf numFmtId="0" fontId="13" fillId="0" borderId="44" xfId="2" applyFont="1" applyBorder="1" applyAlignment="1">
      <alignment horizontal="left" vertical="center" wrapText="1"/>
    </xf>
    <xf numFmtId="1" fontId="12" fillId="0" borderId="9" xfId="2" applyNumberFormat="1" applyFont="1" applyBorder="1" applyAlignment="1">
      <alignment vertical="center" shrinkToFit="1"/>
    </xf>
    <xf numFmtId="1" fontId="12" fillId="0" borderId="2" xfId="2" applyNumberFormat="1" applyFont="1" applyBorder="1" applyAlignment="1">
      <alignment horizontal="right" vertical="center" shrinkToFit="1"/>
    </xf>
    <xf numFmtId="1" fontId="12" fillId="0" borderId="44" xfId="2" applyNumberFormat="1" applyFont="1" applyBorder="1" applyAlignment="1">
      <alignment vertical="center" shrinkToFit="1"/>
    </xf>
    <xf numFmtId="1" fontId="12" fillId="0" borderId="9" xfId="2" applyNumberFormat="1" applyFont="1" applyBorder="1" applyAlignment="1">
      <alignment horizontal="right" vertical="center" shrinkToFit="1"/>
    </xf>
    <xf numFmtId="1" fontId="12" fillId="0" borderId="33" xfId="2" applyNumberFormat="1" applyFont="1" applyBorder="1" applyAlignment="1">
      <alignment horizontal="right" vertical="center" shrinkToFit="1"/>
    </xf>
    <xf numFmtId="1" fontId="12" fillId="0" borderId="49" xfId="2" applyNumberFormat="1" applyFont="1" applyBorder="1" applyAlignment="1">
      <alignment horizontal="right" vertical="center" shrinkToFit="1"/>
    </xf>
    <xf numFmtId="1" fontId="12" fillId="0" borderId="44" xfId="2" applyNumberFormat="1" applyFont="1" applyBorder="1" applyAlignment="1">
      <alignment horizontal="right" vertical="center" shrinkToFit="1"/>
    </xf>
    <xf numFmtId="1" fontId="12" fillId="8" borderId="33" xfId="2" applyNumberFormat="1" applyFont="1" applyFill="1" applyBorder="1" applyAlignment="1">
      <alignment horizontal="right" vertical="center" shrinkToFit="1"/>
    </xf>
    <xf numFmtId="1" fontId="12" fillId="0" borderId="7" xfId="2" applyNumberFormat="1" applyFont="1" applyBorder="1" applyAlignment="1">
      <alignment horizontal="right" vertical="center" shrinkToFit="1"/>
    </xf>
    <xf numFmtId="1" fontId="12" fillId="0" borderId="8" xfId="2" applyNumberFormat="1" applyFont="1" applyBorder="1" applyAlignment="1">
      <alignment horizontal="right" vertical="center" shrinkToFit="1"/>
    </xf>
    <xf numFmtId="1" fontId="12" fillId="0" borderId="39" xfId="2" applyNumberFormat="1" applyFont="1" applyBorder="1" applyAlignment="1">
      <alignment horizontal="right" vertical="center" wrapText="1"/>
    </xf>
    <xf numFmtId="1" fontId="12" fillId="0" borderId="47" xfId="2" applyNumberFormat="1" applyFont="1" applyBorder="1" applyAlignment="1">
      <alignment horizontal="right" vertical="center" shrinkToFit="1"/>
    </xf>
    <xf numFmtId="1" fontId="13" fillId="8" borderId="7" xfId="2" applyNumberFormat="1" applyFont="1" applyFill="1" applyBorder="1" applyAlignment="1">
      <alignment horizontal="right" vertical="center"/>
    </xf>
    <xf numFmtId="0" fontId="12" fillId="8" borderId="36" xfId="2" applyFont="1" applyFill="1" applyBorder="1" applyAlignment="1">
      <alignment horizontal="left" vertical="center"/>
    </xf>
    <xf numFmtId="1" fontId="12" fillId="0" borderId="39" xfId="2" applyNumberFormat="1" applyFont="1" applyBorder="1" applyAlignment="1">
      <alignment horizontal="right" vertical="center" shrinkToFit="1"/>
    </xf>
    <xf numFmtId="1" fontId="12" fillId="0" borderId="7" xfId="2" applyNumberFormat="1" applyFont="1" applyBorder="1" applyAlignment="1">
      <alignment horizontal="right" vertical="center" wrapText="1"/>
    </xf>
    <xf numFmtId="1" fontId="12" fillId="0" borderId="36" xfId="2" applyNumberFormat="1" applyFont="1" applyBorder="1" applyAlignment="1">
      <alignment horizontal="right" vertical="center" shrinkToFit="1"/>
    </xf>
    <xf numFmtId="0" fontId="15" fillId="0" borderId="10" xfId="2" applyFont="1" applyBorder="1" applyAlignment="1">
      <alignment horizontal="left" vertical="center" wrapText="1"/>
    </xf>
    <xf numFmtId="0" fontId="15" fillId="0" borderId="45" xfId="2" applyFont="1" applyBorder="1" applyAlignment="1">
      <alignment horizontal="center" vertical="center" wrapText="1"/>
    </xf>
    <xf numFmtId="1" fontId="15" fillId="0" borderId="10" xfId="2" applyNumberFormat="1" applyFont="1" applyBorder="1" applyAlignment="1">
      <alignment horizontal="right" vertical="center" wrapText="1"/>
    </xf>
    <xf numFmtId="1" fontId="15" fillId="0" borderId="11" xfId="2" applyNumberFormat="1" applyFont="1" applyBorder="1" applyAlignment="1">
      <alignment horizontal="right" vertical="center" wrapText="1"/>
    </xf>
    <xf numFmtId="1" fontId="15" fillId="0" borderId="45" xfId="2" applyNumberFormat="1" applyFont="1" applyBorder="1" applyAlignment="1">
      <alignment horizontal="right" vertical="center" wrapText="1"/>
    </xf>
    <xf numFmtId="1" fontId="15" fillId="0" borderId="34" xfId="2" applyNumberFormat="1" applyFont="1" applyBorder="1" applyAlignment="1">
      <alignment horizontal="right" vertical="center" wrapText="1"/>
    </xf>
    <xf numFmtId="1" fontId="15" fillId="0" borderId="85" xfId="2" applyNumberFormat="1" applyFont="1" applyBorder="1" applyAlignment="1">
      <alignment horizontal="right" vertical="center" wrapText="1"/>
    </xf>
    <xf numFmtId="1" fontId="15" fillId="8" borderId="85" xfId="2" applyNumberFormat="1" applyFont="1" applyFill="1" applyBorder="1" applyAlignment="1">
      <alignment horizontal="right" vertical="center" wrapText="1"/>
    </xf>
    <xf numFmtId="1" fontId="15" fillId="8" borderId="34" xfId="2" applyNumberFormat="1" applyFont="1" applyFill="1" applyBorder="1" applyAlignment="1">
      <alignment horizontal="right" vertical="center" wrapText="1"/>
    </xf>
    <xf numFmtId="1" fontId="15" fillId="7" borderId="15" xfId="2" applyNumberFormat="1" applyFont="1" applyFill="1" applyBorder="1" applyAlignment="1">
      <alignment horizontal="right" vertical="center" shrinkToFit="1"/>
    </xf>
    <xf numFmtId="0" fontId="17" fillId="7" borderId="46" xfId="2" applyFont="1" applyFill="1" applyBorder="1" applyAlignment="1">
      <alignment horizontal="center" vertical="center" wrapText="1"/>
    </xf>
    <xf numFmtId="1" fontId="12" fillId="7" borderId="15" xfId="2" applyNumberFormat="1" applyFont="1" applyFill="1" applyBorder="1" applyAlignment="1">
      <alignment vertical="center" wrapText="1"/>
    </xf>
    <xf numFmtId="1" fontId="12" fillId="7" borderId="3" xfId="2" applyNumberFormat="1" applyFont="1" applyFill="1" applyBorder="1" applyAlignment="1">
      <alignment vertical="center" wrapText="1"/>
    </xf>
    <xf numFmtId="1" fontId="12" fillId="7" borderId="46" xfId="2" applyNumberFormat="1" applyFont="1" applyFill="1" applyBorder="1" applyAlignment="1">
      <alignment vertical="center" wrapText="1"/>
    </xf>
    <xf numFmtId="1" fontId="12" fillId="7" borderId="15" xfId="2" applyNumberFormat="1" applyFont="1" applyFill="1" applyBorder="1" applyAlignment="1">
      <alignment horizontal="left" vertical="center" wrapText="1"/>
    </xf>
    <xf numFmtId="1" fontId="12" fillId="7" borderId="3" xfId="2" applyNumberFormat="1" applyFont="1" applyFill="1" applyBorder="1" applyAlignment="1">
      <alignment horizontal="left" vertical="center" wrapText="1"/>
    </xf>
    <xf numFmtId="1" fontId="12" fillId="7" borderId="35" xfId="2" applyNumberFormat="1" applyFont="1" applyFill="1" applyBorder="1" applyAlignment="1">
      <alignment horizontal="left" vertical="center" wrapText="1"/>
    </xf>
    <xf numFmtId="1" fontId="12" fillId="7" borderId="50" xfId="2" applyNumberFormat="1" applyFont="1" applyFill="1" applyBorder="1" applyAlignment="1">
      <alignment horizontal="left" vertical="center" wrapText="1"/>
    </xf>
    <xf numFmtId="1" fontId="12" fillId="7" borderId="3" xfId="2" applyNumberFormat="1" applyFont="1" applyFill="1" applyBorder="1" applyAlignment="1">
      <alignment horizontal="right" vertical="center" wrapText="1"/>
    </xf>
    <xf numFmtId="1" fontId="12" fillId="7" borderId="35" xfId="2" applyNumberFormat="1" applyFont="1" applyFill="1" applyBorder="1" applyAlignment="1">
      <alignment horizontal="right" vertical="center" wrapText="1"/>
    </xf>
    <xf numFmtId="1" fontId="12" fillId="7" borderId="15" xfId="2" applyNumberFormat="1" applyFont="1" applyFill="1" applyBorder="1" applyAlignment="1">
      <alignment horizontal="right" vertical="center" wrapText="1"/>
    </xf>
    <xf numFmtId="1" fontId="12" fillId="7" borderId="50" xfId="2" applyNumberFormat="1" applyFont="1" applyFill="1" applyBorder="1" applyAlignment="1">
      <alignment horizontal="right" vertical="center" wrapText="1"/>
    </xf>
    <xf numFmtId="1" fontId="12" fillId="7" borderId="46" xfId="2" applyNumberFormat="1" applyFont="1" applyFill="1" applyBorder="1" applyAlignment="1">
      <alignment horizontal="right" vertical="center" wrapText="1"/>
    </xf>
    <xf numFmtId="1" fontId="12" fillId="7" borderId="40" xfId="2" applyNumberFormat="1" applyFont="1" applyFill="1" applyBorder="1" applyAlignment="1">
      <alignment horizontal="right" vertical="center" wrapText="1"/>
    </xf>
    <xf numFmtId="1" fontId="12" fillId="7" borderId="5" xfId="2" applyNumberFormat="1" applyFont="1" applyFill="1" applyBorder="1" applyAlignment="1">
      <alignment horizontal="right" vertical="center" wrapText="1"/>
    </xf>
    <xf numFmtId="1" fontId="12" fillId="7" borderId="42" xfId="2" applyNumberFormat="1" applyFont="1" applyFill="1" applyBorder="1" applyAlignment="1">
      <alignment horizontal="right" vertical="center" wrapText="1"/>
    </xf>
    <xf numFmtId="1" fontId="12" fillId="7" borderId="31" xfId="2" applyNumberFormat="1" applyFont="1" applyFill="1" applyBorder="1" applyAlignment="1">
      <alignment horizontal="right" vertical="center" wrapText="1"/>
    </xf>
    <xf numFmtId="1" fontId="12" fillId="0" borderId="43" xfId="2" applyNumberFormat="1" applyFont="1" applyBorder="1" applyAlignment="1">
      <alignment vertical="center" wrapText="1"/>
    </xf>
    <xf numFmtId="0" fontId="12" fillId="0" borderId="38" xfId="2" applyFont="1" applyBorder="1" applyAlignment="1">
      <alignment horizontal="right" vertical="center"/>
    </xf>
    <xf numFmtId="1" fontId="12" fillId="3" borderId="58" xfId="2" applyNumberFormat="1" applyFont="1" applyFill="1" applyBorder="1" applyAlignment="1">
      <alignment horizontal="right" vertical="center" wrapText="1"/>
    </xf>
    <xf numFmtId="1" fontId="12" fillId="3" borderId="43" xfId="2" applyNumberFormat="1" applyFont="1" applyFill="1" applyBorder="1" applyAlignment="1">
      <alignment horizontal="right" vertical="center" wrapText="1"/>
    </xf>
    <xf numFmtId="1" fontId="12" fillId="3" borderId="60" xfId="2" applyNumberFormat="1" applyFont="1" applyFill="1" applyBorder="1" applyAlignment="1">
      <alignment horizontal="right" vertical="center" wrapText="1"/>
    </xf>
    <xf numFmtId="1" fontId="12" fillId="8" borderId="6" xfId="2" applyNumberFormat="1" applyFont="1" applyFill="1" applyBorder="1" applyAlignment="1">
      <alignment horizontal="right" vertical="center" wrapText="1"/>
    </xf>
    <xf numFmtId="0" fontId="12" fillId="0" borderId="38" xfId="2" applyFont="1" applyBorder="1" applyAlignment="1">
      <alignment vertical="center"/>
    </xf>
    <xf numFmtId="0" fontId="12" fillId="0" borderId="6" xfId="2" applyFont="1" applyBorder="1" applyAlignment="1">
      <alignment horizontal="left" vertical="center"/>
    </xf>
    <xf numFmtId="1" fontId="12" fillId="3" borderId="6" xfId="2" applyNumberFormat="1" applyFont="1" applyFill="1" applyBorder="1" applyAlignment="1">
      <alignment vertical="center" shrinkToFit="1"/>
    </xf>
    <xf numFmtId="1" fontId="12" fillId="3" borderId="1" xfId="2" applyNumberFormat="1" applyFont="1" applyFill="1" applyBorder="1" applyAlignment="1">
      <alignment horizontal="right" vertical="center" shrinkToFit="1"/>
    </xf>
    <xf numFmtId="1" fontId="12" fillId="3" borderId="43" xfId="2" applyNumberFormat="1" applyFont="1" applyFill="1" applyBorder="1" applyAlignment="1">
      <alignment vertical="center" wrapText="1"/>
    </xf>
    <xf numFmtId="1" fontId="12" fillId="3" borderId="6" xfId="2" applyNumberFormat="1" applyFont="1" applyFill="1" applyBorder="1" applyAlignment="1">
      <alignment horizontal="right" vertical="center" shrinkToFit="1"/>
    </xf>
    <xf numFmtId="1" fontId="12" fillId="3" borderId="32" xfId="2" applyNumberFormat="1" applyFont="1" applyFill="1" applyBorder="1" applyAlignment="1">
      <alignment horizontal="left" vertical="center" wrapText="1"/>
    </xf>
    <xf numFmtId="1" fontId="12" fillId="3" borderId="38" xfId="2" applyNumberFormat="1" applyFont="1" applyFill="1" applyBorder="1" applyAlignment="1">
      <alignment horizontal="right" vertical="center" shrinkToFit="1"/>
    </xf>
    <xf numFmtId="0" fontId="12" fillId="3" borderId="1" xfId="2" applyFont="1" applyFill="1" applyBorder="1" applyAlignment="1">
      <alignment horizontal="left" vertical="center"/>
    </xf>
    <xf numFmtId="0" fontId="12" fillId="0" borderId="1" xfId="2" applyFont="1" applyBorder="1" applyAlignment="1">
      <alignment horizontal="right" vertical="center"/>
    </xf>
    <xf numFmtId="0" fontId="12" fillId="0" borderId="32" xfId="2" applyFont="1" applyBorder="1" applyAlignment="1">
      <alignment horizontal="right" vertical="center"/>
    </xf>
    <xf numFmtId="0" fontId="12" fillId="0" borderId="6" xfId="2" applyFont="1" applyBorder="1" applyAlignment="1">
      <alignment horizontal="right" vertical="center"/>
    </xf>
    <xf numFmtId="0" fontId="12" fillId="0" borderId="43" xfId="2" applyFont="1" applyBorder="1" applyAlignment="1">
      <alignment horizontal="right" vertical="center"/>
    </xf>
    <xf numFmtId="0" fontId="12" fillId="8" borderId="32" xfId="2" applyFont="1" applyFill="1" applyBorder="1" applyAlignment="1">
      <alignment horizontal="right" vertical="center"/>
    </xf>
    <xf numFmtId="0" fontId="12" fillId="3" borderId="58" xfId="2" applyFont="1" applyFill="1" applyBorder="1" applyAlignment="1">
      <alignment horizontal="right" vertical="center"/>
    </xf>
    <xf numFmtId="0" fontId="12" fillId="3" borderId="43" xfId="2" applyFont="1" applyFill="1" applyBorder="1" applyAlignment="1">
      <alignment horizontal="right" vertical="center"/>
    </xf>
    <xf numFmtId="0" fontId="12" fillId="3" borderId="60" xfId="2" applyFont="1" applyFill="1" applyBorder="1" applyAlignment="1">
      <alignment horizontal="right" vertical="center"/>
    </xf>
    <xf numFmtId="0" fontId="12" fillId="0" borderId="9" xfId="2" applyFont="1" applyBorder="1" applyAlignment="1">
      <alignment horizontal="left" vertical="center"/>
    </xf>
    <xf numFmtId="1" fontId="12" fillId="3" borderId="9" xfId="2" applyNumberFormat="1" applyFont="1" applyFill="1" applyBorder="1" applyAlignment="1">
      <alignment vertical="center" shrinkToFit="1"/>
    </xf>
    <xf numFmtId="1" fontId="12" fillId="3" borderId="2" xfId="2" applyNumberFormat="1" applyFont="1" applyFill="1" applyBorder="1" applyAlignment="1">
      <alignment horizontal="right" vertical="center" shrinkToFit="1"/>
    </xf>
    <xf numFmtId="1" fontId="12" fillId="3" borderId="44" xfId="2" applyNumberFormat="1" applyFont="1" applyFill="1" applyBorder="1" applyAlignment="1">
      <alignment vertical="center" wrapText="1"/>
    </xf>
    <xf numFmtId="1" fontId="12" fillId="3" borderId="9" xfId="2" applyNumberFormat="1" applyFont="1" applyFill="1" applyBorder="1" applyAlignment="1">
      <alignment horizontal="right" vertical="center" shrinkToFit="1"/>
    </xf>
    <xf numFmtId="1" fontId="12" fillId="3" borderId="33" xfId="2" applyNumberFormat="1" applyFont="1" applyFill="1" applyBorder="1" applyAlignment="1">
      <alignment horizontal="left" vertical="center" wrapText="1"/>
    </xf>
    <xf numFmtId="1" fontId="12" fillId="3" borderId="49" xfId="2" applyNumberFormat="1" applyFont="1" applyFill="1" applyBorder="1" applyAlignment="1">
      <alignment horizontal="right" vertical="center" shrinkToFit="1"/>
    </xf>
    <xf numFmtId="0" fontId="12" fillId="3" borderId="2" xfId="2" applyFont="1" applyFill="1" applyBorder="1" applyAlignment="1">
      <alignment horizontal="left" vertical="center"/>
    </xf>
    <xf numFmtId="0" fontId="12" fillId="0" borderId="2" xfId="2" applyFont="1" applyBorder="1" applyAlignment="1">
      <alignment horizontal="right" vertical="center"/>
    </xf>
    <xf numFmtId="0" fontId="12" fillId="0" borderId="33" xfId="2" applyFont="1" applyBorder="1" applyAlignment="1">
      <alignment horizontal="right" vertical="center"/>
    </xf>
    <xf numFmtId="0" fontId="12" fillId="0" borderId="9" xfId="2" applyFont="1" applyBorder="1" applyAlignment="1">
      <alignment horizontal="right" vertical="center"/>
    </xf>
    <xf numFmtId="0" fontId="12" fillId="0" borderId="49" xfId="2" applyFont="1" applyBorder="1" applyAlignment="1">
      <alignment horizontal="right" vertical="center"/>
    </xf>
    <xf numFmtId="0" fontId="12" fillId="0" borderId="44" xfId="2" applyFont="1" applyBorder="1" applyAlignment="1">
      <alignment horizontal="right" vertical="center"/>
    </xf>
    <xf numFmtId="0" fontId="12" fillId="8" borderId="33" xfId="2" applyFont="1" applyFill="1" applyBorder="1" applyAlignment="1">
      <alignment horizontal="right" vertical="center"/>
    </xf>
    <xf numFmtId="0" fontId="12" fillId="3" borderId="63" xfId="2" applyFont="1" applyFill="1" applyBorder="1" applyAlignment="1">
      <alignment horizontal="right" vertical="center"/>
    </xf>
    <xf numFmtId="0" fontId="12" fillId="3" borderId="44" xfId="2" applyFont="1" applyFill="1" applyBorder="1" applyAlignment="1">
      <alignment horizontal="right" vertical="center"/>
    </xf>
    <xf numFmtId="1" fontId="12" fillId="3" borderId="86" xfId="2" applyNumberFormat="1" applyFont="1" applyFill="1" applyBorder="1" applyAlignment="1">
      <alignment horizontal="right" vertical="center" wrapText="1"/>
    </xf>
    <xf numFmtId="1" fontId="12" fillId="8" borderId="9" xfId="2" applyNumberFormat="1" applyFont="1" applyFill="1" applyBorder="1" applyAlignment="1">
      <alignment horizontal="right" vertical="center"/>
    </xf>
    <xf numFmtId="0" fontId="12" fillId="8" borderId="33" xfId="2" applyFont="1" applyFill="1" applyBorder="1" applyAlignment="1">
      <alignment horizontal="left" vertical="center"/>
    </xf>
    <xf numFmtId="0" fontId="12" fillId="3" borderId="86" xfId="2" applyFont="1" applyFill="1" applyBorder="1" applyAlignment="1">
      <alignment horizontal="right" vertical="center"/>
    </xf>
    <xf numFmtId="1" fontId="12" fillId="3" borderId="63" xfId="2" applyNumberFormat="1" applyFont="1" applyFill="1" applyBorder="1" applyAlignment="1">
      <alignment horizontal="right" vertical="center" wrapText="1"/>
    </xf>
    <xf numFmtId="0" fontId="15" fillId="0" borderId="7" xfId="2" applyFont="1" applyBorder="1" applyAlignment="1">
      <alignment horizontal="left" vertical="center" wrapText="1"/>
    </xf>
    <xf numFmtId="0" fontId="13" fillId="0" borderId="47" xfId="2" applyFont="1" applyBorder="1" applyAlignment="1">
      <alignment horizontal="left" vertical="center" wrapText="1"/>
    </xf>
    <xf numFmtId="1" fontId="12" fillId="0" borderId="7" xfId="2" applyNumberFormat="1" applyFont="1" applyBorder="1" applyAlignment="1">
      <alignment vertical="center" shrinkToFit="1"/>
    </xf>
    <xf numFmtId="1" fontId="12" fillId="0" borderId="47" xfId="2" applyNumberFormat="1" applyFont="1" applyBorder="1" applyAlignment="1">
      <alignment vertical="center" shrinkToFit="1"/>
    </xf>
    <xf numFmtId="1" fontId="12" fillId="0" borderId="8" xfId="2" applyNumberFormat="1" applyFont="1" applyBorder="1" applyAlignment="1">
      <alignment horizontal="left" vertical="center" wrapText="1"/>
    </xf>
    <xf numFmtId="1" fontId="12" fillId="8" borderId="36" xfId="2" applyNumberFormat="1" applyFont="1" applyFill="1" applyBorder="1" applyAlignment="1">
      <alignment horizontal="right" vertical="center" shrinkToFit="1"/>
    </xf>
    <xf numFmtId="1" fontId="12" fillId="3" borderId="64" xfId="2" applyNumberFormat="1" applyFont="1" applyFill="1" applyBorder="1" applyAlignment="1">
      <alignment horizontal="right" vertical="center" shrinkToFit="1"/>
    </xf>
    <xf numFmtId="1" fontId="12" fillId="3" borderId="47" xfId="2" applyNumberFormat="1" applyFont="1" applyFill="1" applyBorder="1" applyAlignment="1">
      <alignment horizontal="right" vertical="center" shrinkToFit="1"/>
    </xf>
    <xf numFmtId="1" fontId="12" fillId="3" borderId="61" xfId="2" applyNumberFormat="1" applyFont="1" applyFill="1" applyBorder="1" applyAlignment="1">
      <alignment horizontal="right" vertical="center" wrapText="1"/>
    </xf>
    <xf numFmtId="1" fontId="12" fillId="8" borderId="7" xfId="2" applyNumberFormat="1" applyFont="1" applyFill="1" applyBorder="1" applyAlignment="1">
      <alignment horizontal="right" vertical="center" shrinkToFit="1"/>
    </xf>
    <xf numFmtId="1" fontId="12" fillId="3" borderId="61" xfId="2" applyNumberFormat="1" applyFont="1" applyFill="1" applyBorder="1" applyAlignment="1">
      <alignment horizontal="right" vertical="center" shrinkToFit="1"/>
    </xf>
    <xf numFmtId="1" fontId="12" fillId="3" borderId="64" xfId="2" applyNumberFormat="1" applyFont="1" applyFill="1" applyBorder="1" applyAlignment="1">
      <alignment horizontal="right" vertical="center" wrapText="1"/>
    </xf>
    <xf numFmtId="1" fontId="15" fillId="0" borderId="10" xfId="2" applyNumberFormat="1" applyFont="1" applyBorder="1" applyAlignment="1">
      <alignment vertical="center" shrinkToFit="1"/>
    </xf>
    <xf numFmtId="1" fontId="15" fillId="0" borderId="11" xfId="2" applyNumberFormat="1" applyFont="1" applyBorder="1" applyAlignment="1">
      <alignment horizontal="right" vertical="center" shrinkToFit="1"/>
    </xf>
    <xf numFmtId="1" fontId="15" fillId="0" borderId="45" xfId="2" applyNumberFormat="1" applyFont="1" applyBorder="1" applyAlignment="1">
      <alignment vertical="center" wrapText="1"/>
    </xf>
    <xf numFmtId="1" fontId="15" fillId="0" borderId="10" xfId="2" applyNumberFormat="1" applyFont="1" applyBorder="1" applyAlignment="1">
      <alignment vertical="center" wrapText="1"/>
    </xf>
    <xf numFmtId="1" fontId="15" fillId="0" borderId="11" xfId="2" applyNumberFormat="1" applyFont="1" applyBorder="1" applyAlignment="1">
      <alignment vertical="center" wrapText="1"/>
    </xf>
    <xf numFmtId="1" fontId="15" fillId="0" borderId="34" xfId="2" applyNumberFormat="1" applyFont="1" applyBorder="1" applyAlignment="1">
      <alignment vertical="center" wrapText="1"/>
    </xf>
    <xf numFmtId="1" fontId="15" fillId="0" borderId="85" xfId="2" applyNumberFormat="1" applyFont="1" applyBorder="1" applyAlignment="1">
      <alignment vertical="center" wrapText="1"/>
    </xf>
    <xf numFmtId="1" fontId="15" fillId="8" borderId="85" xfId="2" applyNumberFormat="1" applyFont="1" applyFill="1" applyBorder="1" applyAlignment="1">
      <alignment vertical="center" wrapText="1"/>
    </xf>
    <xf numFmtId="1" fontId="15" fillId="8" borderId="34" xfId="2" applyNumberFormat="1" applyFont="1" applyFill="1" applyBorder="1" applyAlignment="1">
      <alignment vertical="center" wrapText="1"/>
    </xf>
    <xf numFmtId="0" fontId="15" fillId="7" borderId="42" xfId="2" applyFont="1" applyFill="1" applyBorder="1" applyAlignment="1">
      <alignment horizontal="center" vertical="center"/>
    </xf>
    <xf numFmtId="0" fontId="12" fillId="7" borderId="4" xfId="2" applyFont="1" applyFill="1" applyBorder="1" applyAlignment="1">
      <alignment horizontal="left" vertical="center"/>
    </xf>
    <xf numFmtId="0" fontId="12" fillId="7" borderId="5" xfId="2" applyFont="1" applyFill="1" applyBorder="1" applyAlignment="1">
      <alignment horizontal="left" vertical="center"/>
    </xf>
    <xf numFmtId="0" fontId="12" fillId="7" borderId="42" xfId="2" applyFont="1" applyFill="1" applyBorder="1" applyAlignment="1">
      <alignment horizontal="left" vertical="center"/>
    </xf>
    <xf numFmtId="0" fontId="12" fillId="7" borderId="31" xfId="2" applyFont="1" applyFill="1" applyBorder="1" applyAlignment="1">
      <alignment horizontal="left" vertical="center"/>
    </xf>
    <xf numFmtId="0" fontId="12" fillId="7" borderId="40" xfId="2" applyFont="1" applyFill="1" applyBorder="1" applyAlignment="1">
      <alignment horizontal="left" vertical="center"/>
    </xf>
    <xf numFmtId="1" fontId="12" fillId="7" borderId="5" xfId="2" applyNumberFormat="1" applyFont="1" applyFill="1" applyBorder="1" applyAlignment="1">
      <alignment horizontal="left" vertical="center" wrapText="1"/>
    </xf>
    <xf numFmtId="0" fontId="12" fillId="0" borderId="48" xfId="2" applyFont="1" applyBorder="1" applyAlignment="1">
      <alignment horizontal="right" vertical="center"/>
    </xf>
    <xf numFmtId="1" fontId="12" fillId="0" borderId="32" xfId="2" applyNumberFormat="1" applyFont="1" applyBorder="1" applyAlignment="1">
      <alignment horizontal="right" vertical="center" shrinkToFit="1"/>
    </xf>
    <xf numFmtId="1" fontId="12" fillId="0" borderId="43" xfId="2" applyNumberFormat="1" applyFont="1" applyBorder="1" applyAlignment="1">
      <alignment horizontal="right" vertical="center" shrinkToFit="1"/>
    </xf>
    <xf numFmtId="1" fontId="12" fillId="8" borderId="32" xfId="2" applyNumberFormat="1" applyFont="1" applyFill="1" applyBorder="1" applyAlignment="1">
      <alignment horizontal="right" vertical="center" shrinkToFit="1"/>
    </xf>
    <xf numFmtId="1" fontId="12" fillId="8" borderId="6" xfId="2" applyNumberFormat="1" applyFont="1" applyFill="1" applyBorder="1" applyAlignment="1">
      <alignment horizontal="right" vertical="center" shrinkToFit="1"/>
    </xf>
    <xf numFmtId="0" fontId="12" fillId="3" borderId="38" xfId="2" applyFont="1" applyFill="1" applyBorder="1" applyAlignment="1">
      <alignment horizontal="right" vertical="center"/>
    </xf>
    <xf numFmtId="0" fontId="15" fillId="0" borderId="51" xfId="2" applyFont="1" applyBorder="1" applyAlignment="1">
      <alignment horizontal="left" vertical="center" wrapText="1"/>
    </xf>
    <xf numFmtId="0" fontId="13" fillId="0" borderId="52" xfId="2" applyFont="1" applyBorder="1" applyAlignment="1">
      <alignment horizontal="left" vertical="center" wrapText="1"/>
    </xf>
    <xf numFmtId="1" fontId="12" fillId="0" borderId="51" xfId="2" applyNumberFormat="1" applyFont="1" applyBorder="1" applyAlignment="1">
      <alignment vertical="center" shrinkToFit="1"/>
    </xf>
    <xf numFmtId="1" fontId="12" fillId="0" borderId="53" xfId="2" applyNumberFormat="1" applyFont="1" applyBorder="1" applyAlignment="1">
      <alignment horizontal="right" vertical="center" shrinkToFit="1"/>
    </xf>
    <xf numFmtId="1" fontId="12" fillId="0" borderId="52" xfId="2" applyNumberFormat="1" applyFont="1" applyBorder="1" applyAlignment="1">
      <alignment vertical="center" shrinkToFit="1"/>
    </xf>
    <xf numFmtId="1" fontId="12" fillId="0" borderId="51" xfId="2" applyNumberFormat="1" applyFont="1" applyBorder="1" applyAlignment="1">
      <alignment horizontal="right" vertical="center" shrinkToFit="1"/>
    </xf>
    <xf numFmtId="1" fontId="12" fillId="0" borderId="54" xfId="2" applyNumberFormat="1" applyFont="1" applyBorder="1" applyAlignment="1">
      <alignment horizontal="right" vertical="center" shrinkToFit="1"/>
    </xf>
    <xf numFmtId="1" fontId="12" fillId="0" borderId="55" xfId="2" applyNumberFormat="1" applyFont="1" applyBorder="1" applyAlignment="1">
      <alignment horizontal="right" vertical="center" shrinkToFit="1"/>
    </xf>
    <xf numFmtId="1" fontId="12" fillId="0" borderId="52" xfId="2" applyNumberFormat="1" applyFont="1" applyBorder="1" applyAlignment="1">
      <alignment horizontal="right" vertical="center" shrinkToFit="1"/>
    </xf>
    <xf numFmtId="1" fontId="12" fillId="8" borderId="54" xfId="2" applyNumberFormat="1" applyFont="1" applyFill="1" applyBorder="1" applyAlignment="1">
      <alignment horizontal="right" vertical="center" shrinkToFit="1"/>
    </xf>
    <xf numFmtId="1" fontId="12" fillId="8" borderId="9" xfId="2" applyNumberFormat="1" applyFont="1" applyFill="1" applyBorder="1" applyAlignment="1">
      <alignment horizontal="right" vertical="center" shrinkToFit="1"/>
    </xf>
    <xf numFmtId="0" fontId="15" fillId="7" borderId="46" xfId="2" applyFont="1" applyFill="1" applyBorder="1" applyAlignment="1">
      <alignment horizontal="center" vertical="center"/>
    </xf>
    <xf numFmtId="0" fontId="12" fillId="7" borderId="15" xfId="2" applyFont="1" applyFill="1" applyBorder="1" applyAlignment="1">
      <alignment horizontal="left" vertical="center"/>
    </xf>
    <xf numFmtId="0" fontId="12" fillId="7" borderId="3" xfId="2" applyFont="1" applyFill="1" applyBorder="1" applyAlignment="1">
      <alignment horizontal="left" vertical="center"/>
    </xf>
    <xf numFmtId="0" fontId="12" fillId="7" borderId="46" xfId="2" applyFont="1" applyFill="1" applyBorder="1" applyAlignment="1">
      <alignment horizontal="left" vertical="center"/>
    </xf>
    <xf numFmtId="0" fontId="12" fillId="7" borderId="35" xfId="2" applyFont="1" applyFill="1" applyBorder="1" applyAlignment="1">
      <alignment horizontal="left" vertical="center"/>
    </xf>
    <xf numFmtId="0" fontId="12" fillId="7" borderId="50" xfId="2" applyFont="1" applyFill="1" applyBorder="1" applyAlignment="1">
      <alignment horizontal="left" vertical="center"/>
    </xf>
    <xf numFmtId="0" fontId="12" fillId="0" borderId="39" xfId="2" applyFont="1" applyBorder="1" applyAlignment="1">
      <alignment horizontal="right" vertical="center"/>
    </xf>
    <xf numFmtId="0" fontId="12" fillId="0" borderId="7" xfId="2" applyFont="1" applyBorder="1" applyAlignment="1">
      <alignment horizontal="right" vertical="center"/>
    </xf>
    <xf numFmtId="0" fontId="12" fillId="0" borderId="8" xfId="2" applyFont="1" applyBorder="1" applyAlignment="1">
      <alignment horizontal="right" vertical="center"/>
    </xf>
    <xf numFmtId="0" fontId="12" fillId="3" borderId="39" xfId="2" applyFont="1" applyFill="1" applyBorder="1" applyAlignment="1">
      <alignment horizontal="right" vertical="center"/>
    </xf>
    <xf numFmtId="0" fontId="15" fillId="0" borderId="12" xfId="2" applyFont="1" applyBorder="1" applyAlignment="1">
      <alignment horizontal="center" vertical="center" wrapText="1"/>
    </xf>
    <xf numFmtId="1" fontId="12" fillId="3" borderId="32" xfId="2" applyNumberFormat="1" applyFont="1" applyFill="1" applyBorder="1" applyAlignment="1">
      <alignment horizontal="right" vertical="center" wrapText="1"/>
    </xf>
    <xf numFmtId="1" fontId="12" fillId="3" borderId="6" xfId="2" applyNumberFormat="1" applyFont="1" applyFill="1" applyBorder="1" applyAlignment="1">
      <alignment horizontal="right" vertical="center" wrapText="1"/>
    </xf>
    <xf numFmtId="1" fontId="12" fillId="0" borderId="38" xfId="2" applyNumberFormat="1" applyFont="1" applyBorder="1" applyAlignment="1">
      <alignment horizontal="right" vertical="center"/>
    </xf>
    <xf numFmtId="1" fontId="12" fillId="0" borderId="6" xfId="2" applyNumberFormat="1" applyFont="1" applyBorder="1" applyAlignment="1">
      <alignment horizontal="right" vertical="center"/>
    </xf>
    <xf numFmtId="0" fontId="12" fillId="0" borderId="0" xfId="2" applyFont="1" applyAlignment="1">
      <alignment horizontal="right" vertical="center"/>
    </xf>
    <xf numFmtId="1" fontId="12" fillId="3" borderId="39" xfId="2" applyNumberFormat="1" applyFont="1" applyFill="1" applyBorder="1" applyAlignment="1">
      <alignment horizontal="right" vertical="center" shrinkToFit="1"/>
    </xf>
    <xf numFmtId="1" fontId="12" fillId="3" borderId="36" xfId="2" applyNumberFormat="1" applyFont="1" applyFill="1" applyBorder="1" applyAlignment="1">
      <alignment horizontal="right" vertical="center" shrinkToFit="1"/>
    </xf>
    <xf numFmtId="1" fontId="12" fillId="3" borderId="7" xfId="2" applyNumberFormat="1" applyFont="1" applyFill="1" applyBorder="1" applyAlignment="1">
      <alignment horizontal="right" vertical="center" shrinkToFit="1"/>
    </xf>
    <xf numFmtId="1" fontId="12" fillId="0" borderId="39" xfId="2" applyNumberFormat="1" applyFont="1" applyBorder="1" applyAlignment="1">
      <alignment horizontal="right" vertical="center"/>
    </xf>
    <xf numFmtId="1" fontId="12" fillId="0" borderId="7" xfId="2" applyNumberFormat="1" applyFont="1" applyBorder="1" applyAlignment="1">
      <alignment horizontal="right" vertical="center"/>
    </xf>
    <xf numFmtId="1" fontId="15" fillId="3" borderId="85" xfId="2" applyNumberFormat="1" applyFont="1" applyFill="1" applyBorder="1" applyAlignment="1">
      <alignment vertical="center" wrapText="1"/>
    </xf>
    <xf numFmtId="1" fontId="15" fillId="3" borderId="34" xfId="2" applyNumberFormat="1" applyFont="1" applyFill="1" applyBorder="1" applyAlignment="1">
      <alignment vertical="center" wrapText="1"/>
    </xf>
    <xf numFmtId="1" fontId="15" fillId="3" borderId="10" xfId="2" applyNumberFormat="1" applyFont="1" applyFill="1" applyBorder="1" applyAlignment="1">
      <alignment vertical="center" wrapText="1"/>
    </xf>
    <xf numFmtId="1" fontId="15" fillId="3" borderId="45" xfId="2" applyNumberFormat="1" applyFont="1" applyFill="1" applyBorder="1" applyAlignment="1">
      <alignment vertical="center" wrapText="1"/>
    </xf>
    <xf numFmtId="0" fontId="15" fillId="7" borderId="16" xfId="2" applyFont="1" applyFill="1" applyBorder="1" applyAlignment="1">
      <alignment horizontal="center" vertical="center" wrapText="1"/>
    </xf>
    <xf numFmtId="0" fontId="15" fillId="7" borderId="48" xfId="2" applyFont="1" applyFill="1" applyBorder="1" applyAlignment="1">
      <alignment horizontal="center" vertical="center" wrapText="1"/>
    </xf>
    <xf numFmtId="1" fontId="15" fillId="7" borderId="16" xfId="2" applyNumberFormat="1" applyFont="1" applyFill="1" applyBorder="1" applyAlignment="1">
      <alignment vertical="center" shrinkToFit="1"/>
    </xf>
    <xf numFmtId="1" fontId="15" fillId="7" borderId="14" xfId="2" applyNumberFormat="1" applyFont="1" applyFill="1" applyBorder="1" applyAlignment="1">
      <alignment horizontal="right" vertical="center" shrinkToFit="1"/>
    </xf>
    <xf numFmtId="1" fontId="15" fillId="7" borderId="48" xfId="2" applyNumberFormat="1" applyFont="1" applyFill="1" applyBorder="1" applyAlignment="1">
      <alignment vertical="center" wrapText="1"/>
    </xf>
    <xf numFmtId="1" fontId="15" fillId="7" borderId="16" xfId="2" applyNumberFormat="1" applyFont="1" applyFill="1" applyBorder="1" applyAlignment="1">
      <alignment vertical="center" wrapText="1"/>
    </xf>
    <xf numFmtId="1" fontId="15" fillId="7" borderId="14" xfId="2" applyNumberFormat="1" applyFont="1" applyFill="1" applyBorder="1" applyAlignment="1">
      <alignment vertical="center" wrapText="1"/>
    </xf>
    <xf numFmtId="1" fontId="15" fillId="7" borderId="37" xfId="2" applyNumberFormat="1" applyFont="1" applyFill="1" applyBorder="1" applyAlignment="1">
      <alignment vertical="center" wrapText="1"/>
    </xf>
    <xf numFmtId="1" fontId="15" fillId="7" borderId="41" xfId="2" applyNumberFormat="1" applyFont="1" applyFill="1" applyBorder="1" applyAlignment="1">
      <alignment vertical="center" wrapText="1"/>
    </xf>
    <xf numFmtId="1" fontId="15" fillId="7" borderId="37" xfId="2" applyNumberFormat="1" applyFont="1" applyFill="1" applyBorder="1" applyAlignment="1">
      <alignment horizontal="right" vertical="center" shrinkToFit="1"/>
    </xf>
    <xf numFmtId="1" fontId="15" fillId="7" borderId="16" xfId="2" applyNumberFormat="1" applyFont="1" applyFill="1" applyBorder="1" applyAlignment="1">
      <alignment horizontal="right" vertical="center" shrinkToFit="1"/>
    </xf>
    <xf numFmtId="1" fontId="15" fillId="7" borderId="41" xfId="2" applyNumberFormat="1" applyFont="1" applyFill="1" applyBorder="1" applyAlignment="1">
      <alignment horizontal="right" vertical="center" shrinkToFit="1"/>
    </xf>
    <xf numFmtId="1" fontId="15" fillId="7" borderId="48" xfId="2" applyNumberFormat="1" applyFont="1" applyFill="1" applyBorder="1" applyAlignment="1">
      <alignment horizontal="right" vertical="center" shrinkToFit="1"/>
    </xf>
    <xf numFmtId="1" fontId="15" fillId="7" borderId="62" xfId="2" applyNumberFormat="1" applyFont="1" applyFill="1" applyBorder="1" applyAlignment="1">
      <alignment horizontal="right" vertical="center" shrinkToFit="1"/>
    </xf>
    <xf numFmtId="1" fontId="15" fillId="7" borderId="65" xfId="2" applyNumberFormat="1" applyFont="1" applyFill="1" applyBorder="1" applyAlignment="1">
      <alignment horizontal="right" vertical="center" shrinkToFit="1"/>
    </xf>
    <xf numFmtId="1" fontId="15" fillId="7" borderId="56" xfId="2" applyNumberFormat="1" applyFont="1" applyFill="1" applyBorder="1" applyAlignment="1">
      <alignment horizontal="right" vertical="center" shrinkToFit="1"/>
    </xf>
    <xf numFmtId="1" fontId="15" fillId="7" borderId="74" xfId="2" applyNumberFormat="1" applyFont="1" applyFill="1" applyBorder="1" applyAlignment="1">
      <alignment horizontal="right" vertical="center" shrinkToFit="1"/>
    </xf>
    <xf numFmtId="1" fontId="15" fillId="7" borderId="57" xfId="2" applyNumberFormat="1" applyFont="1" applyFill="1" applyBorder="1" applyAlignment="1">
      <alignment horizontal="right" vertical="center" shrinkToFit="1"/>
    </xf>
    <xf numFmtId="1" fontId="15" fillId="7" borderId="6" xfId="2" applyNumberFormat="1" applyFont="1" applyFill="1" applyBorder="1" applyAlignment="1">
      <alignment horizontal="center" vertical="center" shrinkToFit="1"/>
    </xf>
    <xf numFmtId="1" fontId="12" fillId="3" borderId="1" xfId="2" applyNumberFormat="1" applyFont="1" applyFill="1" applyBorder="1" applyAlignment="1">
      <alignment horizontal="right" vertical="center" wrapText="1"/>
    </xf>
    <xf numFmtId="0" fontId="12" fillId="3" borderId="1" xfId="2" applyFont="1" applyFill="1" applyBorder="1" applyAlignment="1">
      <alignment horizontal="right" vertical="center"/>
    </xf>
    <xf numFmtId="1" fontId="12" fillId="0" borderId="6" xfId="2" applyNumberFormat="1" applyFont="1" applyBorder="1" applyAlignment="1">
      <alignment horizontal="left" vertical="center" wrapText="1"/>
    </xf>
    <xf numFmtId="1" fontId="12" fillId="0" borderId="38" xfId="2" applyNumberFormat="1" applyFont="1" applyBorder="1" applyAlignment="1">
      <alignment horizontal="left" vertical="center" wrapText="1"/>
    </xf>
    <xf numFmtId="0" fontId="12" fillId="3" borderId="8" xfId="2" applyFont="1" applyFill="1" applyBorder="1" applyAlignment="1">
      <alignment horizontal="right" vertical="center"/>
    </xf>
    <xf numFmtId="0" fontId="15" fillId="7" borderId="46" xfId="2" applyFont="1" applyFill="1" applyBorder="1" applyAlignment="1">
      <alignment horizontal="center" vertical="center" wrapText="1"/>
    </xf>
    <xf numFmtId="0" fontId="12" fillId="0" borderId="13" xfId="2" applyFont="1" applyBorder="1" applyAlignment="1">
      <alignment horizontal="left" vertical="center"/>
    </xf>
    <xf numFmtId="1" fontId="15" fillId="7" borderId="6" xfId="2" applyNumberFormat="1" applyFont="1" applyFill="1" applyBorder="1" applyAlignment="1">
      <alignment horizontal="right" vertical="center" shrinkToFit="1"/>
    </xf>
    <xf numFmtId="1" fontId="12" fillId="0" borderId="1" xfId="2" applyNumberFormat="1" applyFont="1" applyBorder="1" applyAlignment="1">
      <alignment vertical="center" wrapText="1"/>
    </xf>
    <xf numFmtId="1" fontId="12" fillId="3" borderId="32" xfId="2" applyNumberFormat="1" applyFont="1" applyFill="1" applyBorder="1" applyAlignment="1">
      <alignment horizontal="right" vertical="center" shrinkToFit="1"/>
    </xf>
    <xf numFmtId="1" fontId="12" fillId="3" borderId="43" xfId="2" applyNumberFormat="1" applyFont="1" applyFill="1" applyBorder="1" applyAlignment="1">
      <alignment horizontal="right" vertical="center" shrinkToFit="1"/>
    </xf>
    <xf numFmtId="0" fontId="12" fillId="0" borderId="17" xfId="2" applyFont="1" applyBorder="1" applyAlignment="1">
      <alignment horizontal="left" vertical="center"/>
    </xf>
    <xf numFmtId="1" fontId="12" fillId="0" borderId="47" xfId="2" applyNumberFormat="1" applyFont="1" applyBorder="1" applyAlignment="1">
      <alignment vertical="center" wrapText="1"/>
    </xf>
    <xf numFmtId="1" fontId="12" fillId="0" borderId="36" xfId="2" applyNumberFormat="1" applyFont="1" applyBorder="1" applyAlignment="1">
      <alignment horizontal="left" vertical="center" wrapText="1"/>
    </xf>
    <xf numFmtId="1" fontId="12" fillId="0" borderId="39" xfId="2" applyNumberFormat="1" applyFont="1" applyBorder="1" applyAlignment="1">
      <alignment horizontal="left" vertical="center" wrapText="1"/>
    </xf>
    <xf numFmtId="1" fontId="12" fillId="0" borderId="8" xfId="2" applyNumberFormat="1" applyFont="1" applyBorder="1" applyAlignment="1">
      <alignment horizontal="right" vertical="center" wrapText="1"/>
    </xf>
    <xf numFmtId="1" fontId="12" fillId="0" borderId="36" xfId="2" applyNumberFormat="1" applyFont="1" applyBorder="1" applyAlignment="1">
      <alignment horizontal="right" vertical="center" wrapText="1"/>
    </xf>
    <xf numFmtId="1" fontId="12" fillId="3" borderId="39" xfId="2" applyNumberFormat="1" applyFont="1" applyFill="1" applyBorder="1" applyAlignment="1">
      <alignment horizontal="right" vertical="center" wrapText="1"/>
    </xf>
    <xf numFmtId="1" fontId="12" fillId="3" borderId="36" xfId="2" applyNumberFormat="1" applyFont="1" applyFill="1" applyBorder="1" applyAlignment="1">
      <alignment horizontal="right" vertical="center" wrapText="1"/>
    </xf>
    <xf numFmtId="1" fontId="12" fillId="3" borderId="7" xfId="2" applyNumberFormat="1" applyFont="1" applyFill="1" applyBorder="1" applyAlignment="1">
      <alignment horizontal="right" vertical="center" wrapText="1"/>
    </xf>
    <xf numFmtId="1" fontId="12" fillId="3" borderId="47" xfId="2" applyNumberFormat="1" applyFont="1" applyFill="1" applyBorder="1" applyAlignment="1">
      <alignment horizontal="right" vertical="center" wrapText="1"/>
    </xf>
    <xf numFmtId="1" fontId="12" fillId="8" borderId="36" xfId="2" applyNumberFormat="1" applyFont="1" applyFill="1" applyBorder="1" applyAlignment="1">
      <alignment horizontal="right" vertical="center" wrapText="1"/>
    </xf>
    <xf numFmtId="1" fontId="12" fillId="0" borderId="47" xfId="2" applyNumberFormat="1" applyFont="1" applyBorder="1" applyAlignment="1">
      <alignment horizontal="right" vertical="center" wrapText="1"/>
    </xf>
    <xf numFmtId="1" fontId="12" fillId="8" borderId="7" xfId="2" applyNumberFormat="1" applyFont="1" applyFill="1" applyBorder="1" applyAlignment="1">
      <alignment horizontal="right" vertical="center" wrapText="1"/>
    </xf>
    <xf numFmtId="1" fontId="12" fillId="3" borderId="33" xfId="2" applyNumberFormat="1" applyFont="1" applyFill="1" applyBorder="1" applyAlignment="1">
      <alignment horizontal="right" vertical="center" shrinkToFit="1"/>
    </xf>
    <xf numFmtId="1" fontId="12" fillId="3" borderId="44" xfId="2" applyNumberFormat="1" applyFont="1" applyFill="1" applyBorder="1" applyAlignment="1">
      <alignment horizontal="right" vertical="center" shrinkToFit="1"/>
    </xf>
    <xf numFmtId="1" fontId="12" fillId="8" borderId="49" xfId="2" applyNumberFormat="1" applyFont="1" applyFill="1" applyBorder="1" applyAlignment="1">
      <alignment horizontal="right" vertical="center" shrinkToFit="1"/>
    </xf>
    <xf numFmtId="0" fontId="12" fillId="8" borderId="26" xfId="2" applyFont="1" applyFill="1" applyBorder="1" applyAlignment="1">
      <alignment horizontal="left" vertical="center"/>
    </xf>
    <xf numFmtId="0" fontId="15" fillId="0" borderId="16" xfId="2" applyFont="1" applyBorder="1" applyAlignment="1">
      <alignment horizontal="left" vertical="center" wrapText="1"/>
    </xf>
    <xf numFmtId="0" fontId="12" fillId="0" borderId="48" xfId="2" applyFont="1" applyBorder="1" applyAlignment="1">
      <alignment horizontal="left" vertical="center" wrapText="1"/>
    </xf>
    <xf numFmtId="1" fontId="12" fillId="0" borderId="16" xfId="2" applyNumberFormat="1" applyFont="1" applyBorder="1" applyAlignment="1">
      <alignment vertical="center" wrapText="1"/>
    </xf>
    <xf numFmtId="1" fontId="12" fillId="0" borderId="14" xfId="2" applyNumberFormat="1" applyFont="1" applyBorder="1" applyAlignment="1">
      <alignment vertical="center" wrapText="1"/>
    </xf>
    <xf numFmtId="1" fontId="12" fillId="0" borderId="48" xfId="2" applyNumberFormat="1" applyFont="1" applyBorder="1" applyAlignment="1">
      <alignment vertical="center" wrapText="1"/>
    </xf>
    <xf numFmtId="1" fontId="12" fillId="0" borderId="37" xfId="2" applyNumberFormat="1" applyFont="1" applyBorder="1" applyAlignment="1">
      <alignment vertical="center" wrapText="1"/>
    </xf>
    <xf numFmtId="1" fontId="12" fillId="0" borderId="41" xfId="2" applyNumberFormat="1" applyFont="1" applyBorder="1" applyAlignment="1">
      <alignment vertical="center" wrapText="1"/>
    </xf>
    <xf numFmtId="1" fontId="12" fillId="0" borderId="14" xfId="2" applyNumberFormat="1" applyFont="1" applyBorder="1" applyAlignment="1">
      <alignment horizontal="right" vertical="center" wrapText="1"/>
    </xf>
    <xf numFmtId="1" fontId="12" fillId="0" borderId="37" xfId="2" applyNumberFormat="1" applyFont="1" applyBorder="1" applyAlignment="1">
      <alignment horizontal="right" vertical="center" wrapText="1"/>
    </xf>
    <xf numFmtId="1" fontId="12" fillId="0" borderId="16" xfId="2" applyNumberFormat="1" applyFont="1" applyBorder="1" applyAlignment="1">
      <alignment horizontal="right" vertical="center" wrapText="1"/>
    </xf>
    <xf numFmtId="0" fontId="29" fillId="0" borderId="41" xfId="2" applyBorder="1" applyAlignment="1">
      <alignment horizontal="left" vertical="center"/>
    </xf>
    <xf numFmtId="1" fontId="12" fillId="0" borderId="41" xfId="2" applyNumberFormat="1" applyFont="1" applyBorder="1" applyAlignment="1">
      <alignment horizontal="right" vertical="center" wrapText="1"/>
    </xf>
    <xf numFmtId="0" fontId="29" fillId="0" borderId="16" xfId="2" applyBorder="1" applyAlignment="1">
      <alignment horizontal="right" vertical="center"/>
    </xf>
    <xf numFmtId="0" fontId="29" fillId="0" borderId="26" xfId="2" applyBorder="1" applyAlignment="1">
      <alignment horizontal="left" vertical="center"/>
    </xf>
    <xf numFmtId="0" fontId="29" fillId="0" borderId="0" xfId="2" applyAlignment="1">
      <alignment horizontal="left" vertical="top"/>
    </xf>
    <xf numFmtId="1" fontId="15" fillId="0" borderId="59" xfId="2" applyNumberFormat="1" applyFont="1" applyBorder="1" applyAlignment="1">
      <alignment horizontal="right" vertical="center" wrapText="1"/>
    </xf>
    <xf numFmtId="0" fontId="15" fillId="0" borderId="15" xfId="2" applyFont="1" applyBorder="1" applyAlignment="1">
      <alignment horizontal="left" vertical="center" wrapText="1"/>
    </xf>
    <xf numFmtId="0" fontId="12" fillId="0" borderId="46" xfId="2" applyFont="1" applyBorder="1" applyAlignment="1">
      <alignment horizontal="left" vertical="center" wrapText="1"/>
    </xf>
    <xf numFmtId="1" fontId="12" fillId="0" borderId="15" xfId="2" applyNumberFormat="1" applyFont="1" applyBorder="1" applyAlignment="1">
      <alignment vertical="center" wrapText="1"/>
    </xf>
    <xf numFmtId="1" fontId="12" fillId="0" borderId="3" xfId="2" applyNumberFormat="1" applyFont="1" applyBorder="1" applyAlignment="1">
      <alignment vertical="center" wrapText="1"/>
    </xf>
    <xf numFmtId="1" fontId="12" fillId="0" borderId="46" xfId="2" applyNumberFormat="1" applyFont="1" applyBorder="1" applyAlignment="1">
      <alignment vertical="center" wrapText="1"/>
    </xf>
    <xf numFmtId="1" fontId="12" fillId="0" borderId="35" xfId="2" applyNumberFormat="1" applyFont="1" applyBorder="1" applyAlignment="1">
      <alignment vertical="center" wrapText="1"/>
    </xf>
    <xf numFmtId="1" fontId="12" fillId="0" borderId="50" xfId="2" applyNumberFormat="1" applyFont="1" applyBorder="1" applyAlignment="1">
      <alignment vertical="center" wrapText="1"/>
    </xf>
    <xf numFmtId="1" fontId="12" fillId="0" borderId="3" xfId="2" applyNumberFormat="1" applyFont="1" applyBorder="1" applyAlignment="1">
      <alignment horizontal="right" vertical="center" wrapText="1"/>
    </xf>
    <xf numFmtId="1" fontId="12" fillId="0" borderId="35" xfId="2" applyNumberFormat="1" applyFont="1" applyBorder="1" applyAlignment="1">
      <alignment horizontal="right" vertical="center" wrapText="1"/>
    </xf>
    <xf numFmtId="1" fontId="12" fillId="0" borderId="15" xfId="2" applyNumberFormat="1" applyFont="1" applyBorder="1" applyAlignment="1">
      <alignment horizontal="right" vertical="center" wrapText="1"/>
    </xf>
    <xf numFmtId="1" fontId="12" fillId="0" borderId="50" xfId="2" applyNumberFormat="1" applyFont="1" applyBorder="1" applyAlignment="1">
      <alignment horizontal="right" vertical="center" wrapText="1"/>
    </xf>
    <xf numFmtId="1" fontId="12" fillId="0" borderId="46" xfId="2" applyNumberFormat="1" applyFont="1" applyBorder="1" applyAlignment="1">
      <alignment horizontal="right" vertical="center" wrapText="1"/>
    </xf>
    <xf numFmtId="1" fontId="12" fillId="0" borderId="66" xfId="2" applyNumberFormat="1" applyFont="1" applyBorder="1" applyAlignment="1">
      <alignment horizontal="right" vertical="center" wrapText="1"/>
    </xf>
    <xf numFmtId="0" fontId="17" fillId="7" borderId="43" xfId="2" applyFont="1" applyFill="1" applyBorder="1" applyAlignment="1">
      <alignment horizontal="center" vertical="center" wrapText="1"/>
    </xf>
    <xf numFmtId="1" fontId="12" fillId="7" borderId="6" xfId="2" applyNumberFormat="1" applyFont="1" applyFill="1" applyBorder="1" applyAlignment="1">
      <alignment vertical="center" shrinkToFit="1"/>
    </xf>
    <xf numFmtId="1" fontId="12" fillId="7" borderId="1" xfId="2" applyNumberFormat="1" applyFont="1" applyFill="1" applyBorder="1" applyAlignment="1">
      <alignment horizontal="right" vertical="center" shrinkToFit="1"/>
    </xf>
    <xf numFmtId="1" fontId="12" fillId="7" borderId="43" xfId="2" applyNumberFormat="1" applyFont="1" applyFill="1" applyBorder="1" applyAlignment="1">
      <alignment vertical="center" shrinkToFit="1"/>
    </xf>
    <xf numFmtId="1" fontId="12" fillId="7" borderId="6" xfId="2" applyNumberFormat="1" applyFont="1" applyFill="1" applyBorder="1" applyAlignment="1">
      <alignment horizontal="right" vertical="center" shrinkToFit="1"/>
    </xf>
    <xf numFmtId="1" fontId="12" fillId="7" borderId="32" xfId="2" applyNumberFormat="1" applyFont="1" applyFill="1" applyBorder="1" applyAlignment="1">
      <alignment horizontal="right" vertical="center" shrinkToFit="1"/>
    </xf>
    <xf numFmtId="1" fontId="12" fillId="7" borderId="38" xfId="2" applyNumberFormat="1" applyFont="1" applyFill="1" applyBorder="1" applyAlignment="1">
      <alignment horizontal="right" vertical="center" shrinkToFit="1"/>
    </xf>
    <xf numFmtId="1" fontId="13" fillId="7" borderId="1" xfId="2" applyNumberFormat="1" applyFont="1" applyFill="1" applyBorder="1" applyAlignment="1">
      <alignment vertical="center" wrapText="1"/>
    </xf>
    <xf numFmtId="1" fontId="13" fillId="7" borderId="1" xfId="2" applyNumberFormat="1" applyFont="1" applyFill="1" applyBorder="1" applyAlignment="1">
      <alignment horizontal="right" vertical="center" wrapText="1"/>
    </xf>
    <xf numFmtId="1" fontId="13" fillId="7" borderId="32" xfId="2" applyNumberFormat="1" applyFont="1" applyFill="1" applyBorder="1" applyAlignment="1">
      <alignment horizontal="right" vertical="center" wrapText="1"/>
    </xf>
    <xf numFmtId="1" fontId="13" fillId="7" borderId="6" xfId="2" applyNumberFormat="1" applyFont="1" applyFill="1" applyBorder="1" applyAlignment="1">
      <alignment horizontal="right" vertical="center" wrapText="1"/>
    </xf>
    <xf numFmtId="1" fontId="13" fillId="7" borderId="38" xfId="2" applyNumberFormat="1" applyFont="1" applyFill="1" applyBorder="1" applyAlignment="1">
      <alignment horizontal="right" vertical="center" wrapText="1"/>
    </xf>
    <xf numFmtId="1" fontId="13" fillId="7" borderId="43" xfId="2" applyNumberFormat="1" applyFont="1" applyFill="1" applyBorder="1" applyAlignment="1">
      <alignment horizontal="right" vertical="center" wrapText="1"/>
    </xf>
    <xf numFmtId="1" fontId="13" fillId="7" borderId="60" xfId="2" applyNumberFormat="1" applyFont="1" applyFill="1" applyBorder="1" applyAlignment="1">
      <alignment horizontal="right" vertical="center" wrapText="1"/>
    </xf>
    <xf numFmtId="1" fontId="13" fillId="7" borderId="58" xfId="2" applyNumberFormat="1" applyFont="1" applyFill="1" applyBorder="1" applyAlignment="1">
      <alignment horizontal="right" vertical="center" wrapText="1"/>
    </xf>
    <xf numFmtId="0" fontId="14" fillId="0" borderId="13" xfId="2" applyFont="1" applyBorder="1" applyAlignment="1">
      <alignment horizontal="left" vertical="center"/>
    </xf>
    <xf numFmtId="0" fontId="12" fillId="0" borderId="44" xfId="2" applyFont="1" applyBorder="1" applyAlignment="1">
      <alignment horizontal="left" vertical="center" wrapText="1"/>
    </xf>
    <xf numFmtId="1" fontId="12" fillId="0" borderId="9" xfId="2" applyNumberFormat="1" applyFont="1" applyBorder="1" applyAlignment="1">
      <alignment vertical="center" wrapText="1"/>
    </xf>
    <xf numFmtId="1" fontId="12" fillId="0" borderId="2" xfId="2" applyNumberFormat="1" applyFont="1" applyBorder="1" applyAlignment="1">
      <alignment vertical="center" wrapText="1"/>
    </xf>
    <xf numFmtId="1" fontId="12" fillId="0" borderId="44" xfId="2" applyNumberFormat="1" applyFont="1" applyBorder="1" applyAlignment="1">
      <alignment vertical="center" wrapText="1"/>
    </xf>
    <xf numFmtId="1" fontId="12" fillId="0" borderId="33" xfId="2" applyNumberFormat="1" applyFont="1" applyBorder="1" applyAlignment="1">
      <alignment vertical="center" wrapText="1"/>
    </xf>
    <xf numFmtId="1" fontId="12" fillId="0" borderId="49" xfId="2" applyNumberFormat="1" applyFont="1" applyBorder="1" applyAlignment="1">
      <alignment vertical="center" wrapText="1"/>
    </xf>
    <xf numFmtId="1" fontId="12" fillId="0" borderId="2" xfId="2" applyNumberFormat="1" applyFont="1" applyBorder="1" applyAlignment="1">
      <alignment horizontal="right" vertical="center" wrapText="1"/>
    </xf>
    <xf numFmtId="1" fontId="12" fillId="0" borderId="33" xfId="2" applyNumberFormat="1" applyFont="1" applyBorder="1" applyAlignment="1">
      <alignment horizontal="right" vertical="center" wrapText="1"/>
    </xf>
    <xf numFmtId="1" fontId="12" fillId="0" borderId="9" xfId="2" applyNumberFormat="1" applyFont="1" applyBorder="1" applyAlignment="1">
      <alignment horizontal="right" vertical="center" wrapText="1"/>
    </xf>
    <xf numFmtId="1" fontId="12" fillId="0" borderId="49" xfId="2" applyNumberFormat="1" applyFont="1" applyBorder="1" applyAlignment="1">
      <alignment horizontal="right" vertical="center" wrapText="1"/>
    </xf>
    <xf numFmtId="1" fontId="12" fillId="0" borderId="44" xfId="2" applyNumberFormat="1" applyFont="1" applyBorder="1" applyAlignment="1">
      <alignment horizontal="right" vertical="center" wrapText="1"/>
    </xf>
    <xf numFmtId="1" fontId="12" fillId="0" borderId="67" xfId="2" applyNumberFormat="1" applyFont="1" applyBorder="1" applyAlignment="1">
      <alignment horizontal="right" vertical="center" wrapText="1"/>
    </xf>
    <xf numFmtId="0" fontId="18" fillId="0" borderId="10" xfId="2" applyFont="1" applyBorder="1" applyAlignment="1">
      <alignment horizontal="right" vertical="center" wrapText="1"/>
    </xf>
    <xf numFmtId="0" fontId="19" fillId="0" borderId="45" xfId="2" applyFont="1" applyBorder="1" applyAlignment="1">
      <alignment horizontal="center" vertical="center" wrapText="1"/>
    </xf>
    <xf numFmtId="1" fontId="18" fillId="0" borderId="10" xfId="2" applyNumberFormat="1" applyFont="1" applyBorder="1" applyAlignment="1">
      <alignment horizontal="right" vertical="center" shrinkToFit="1"/>
    </xf>
    <xf numFmtId="1" fontId="18" fillId="0" borderId="11" xfId="2" applyNumberFormat="1" applyFont="1" applyBorder="1" applyAlignment="1">
      <alignment horizontal="right" vertical="center" shrinkToFit="1"/>
    </xf>
    <xf numFmtId="1" fontId="18" fillId="0" borderId="45" xfId="2" applyNumberFormat="1" applyFont="1" applyBorder="1" applyAlignment="1">
      <alignment horizontal="right" vertical="center" shrinkToFit="1"/>
    </xf>
    <xf numFmtId="1" fontId="18" fillId="0" borderId="34" xfId="2" applyNumberFormat="1" applyFont="1" applyBorder="1" applyAlignment="1">
      <alignment horizontal="right" vertical="center" shrinkToFit="1"/>
    </xf>
    <xf numFmtId="1" fontId="18" fillId="0" borderId="85" xfId="2" applyNumberFormat="1" applyFont="1" applyBorder="1" applyAlignment="1">
      <alignment horizontal="right" vertical="center" shrinkToFit="1"/>
    </xf>
    <xf numFmtId="1" fontId="18" fillId="0" borderId="27" xfId="2" applyNumberFormat="1" applyFont="1" applyBorder="1" applyAlignment="1">
      <alignment horizontal="right" vertical="center" shrinkToFit="1"/>
    </xf>
    <xf numFmtId="1" fontId="18" fillId="0" borderId="59" xfId="2" applyNumberFormat="1" applyFont="1" applyBorder="1" applyAlignment="1">
      <alignment horizontal="right" vertical="center" shrinkToFit="1"/>
    </xf>
    <xf numFmtId="0" fontId="16" fillId="0" borderId="13" xfId="2" applyFont="1" applyBorder="1" applyAlignment="1">
      <alignment horizontal="left" vertical="center"/>
    </xf>
    <xf numFmtId="0" fontId="16" fillId="0" borderId="0" xfId="2" applyFont="1" applyAlignment="1">
      <alignment horizontal="left" vertical="center"/>
    </xf>
    <xf numFmtId="0" fontId="16" fillId="0" borderId="26" xfId="2" applyFont="1" applyBorder="1" applyAlignment="1">
      <alignment horizontal="left" vertical="center"/>
    </xf>
    <xf numFmtId="0" fontId="29" fillId="0" borderId="13" xfId="2" applyBorder="1" applyAlignment="1">
      <alignment horizontal="left" vertical="center"/>
    </xf>
    <xf numFmtId="0" fontId="8" fillId="2" borderId="20" xfId="2" applyFont="1" applyFill="1" applyBorder="1" applyAlignment="1">
      <alignment horizontal="center" vertical="center" wrapText="1"/>
    </xf>
    <xf numFmtId="0" fontId="8" fillId="2" borderId="4" xfId="2" applyFont="1" applyFill="1" applyBorder="1" applyAlignment="1">
      <alignment horizontal="center" vertical="center" wrapText="1"/>
    </xf>
    <xf numFmtId="0" fontId="8" fillId="2" borderId="5" xfId="2" applyFont="1" applyFill="1" applyBorder="1" applyAlignment="1">
      <alignment horizontal="center" vertical="center" wrapText="1"/>
    </xf>
    <xf numFmtId="0" fontId="8" fillId="2" borderId="42" xfId="2" applyFont="1" applyFill="1" applyBorder="1" applyAlignment="1">
      <alignment horizontal="center" vertical="center" wrapText="1"/>
    </xf>
    <xf numFmtId="0" fontId="8" fillId="2" borderId="31" xfId="2" applyFont="1" applyFill="1" applyBorder="1" applyAlignment="1">
      <alignment horizontal="center" vertical="center" wrapText="1"/>
    </xf>
    <xf numFmtId="0" fontId="8" fillId="2" borderId="40" xfId="2" applyFont="1" applyFill="1" applyBorder="1" applyAlignment="1">
      <alignment horizontal="center" vertical="center" wrapText="1"/>
    </xf>
    <xf numFmtId="0" fontId="8" fillId="2" borderId="29" xfId="2" applyFont="1" applyFill="1" applyBorder="1" applyAlignment="1">
      <alignment horizontal="center" vertical="center" wrapText="1"/>
    </xf>
    <xf numFmtId="0" fontId="8" fillId="2" borderId="30" xfId="2" applyFont="1" applyFill="1" applyBorder="1" applyAlignment="1">
      <alignment horizontal="center" vertical="center" wrapText="1"/>
    </xf>
    <xf numFmtId="0" fontId="29" fillId="0" borderId="0" xfId="2" applyAlignment="1">
      <alignment horizontal="right" vertical="center"/>
    </xf>
    <xf numFmtId="0" fontId="16" fillId="2" borderId="21" xfId="2" applyFont="1" applyFill="1" applyBorder="1" applyAlignment="1">
      <alignment horizontal="center" vertical="center" wrapText="1"/>
    </xf>
    <xf numFmtId="1" fontId="11" fillId="2" borderId="7" xfId="2" applyNumberFormat="1" applyFont="1" applyFill="1" applyBorder="1" applyAlignment="1">
      <alignment horizontal="center" vertical="center" shrinkToFit="1"/>
    </xf>
    <xf numFmtId="1" fontId="11" fillId="2" borderId="8" xfId="2" applyNumberFormat="1" applyFont="1" applyFill="1" applyBorder="1" applyAlignment="1">
      <alignment horizontal="center" vertical="center" shrinkToFit="1"/>
    </xf>
    <xf numFmtId="1" fontId="11" fillId="2" borderId="47" xfId="2" applyNumberFormat="1" applyFont="1" applyFill="1" applyBorder="1" applyAlignment="1">
      <alignment horizontal="center" vertical="center" shrinkToFit="1"/>
    </xf>
    <xf numFmtId="1" fontId="11" fillId="2" borderId="36" xfId="2" applyNumberFormat="1" applyFont="1" applyFill="1" applyBorder="1" applyAlignment="1">
      <alignment horizontal="center" vertical="center" shrinkToFit="1"/>
    </xf>
    <xf numFmtId="1" fontId="11" fillId="2" borderId="39" xfId="2" applyNumberFormat="1" applyFont="1" applyFill="1" applyBorder="1" applyAlignment="1">
      <alignment horizontal="center" vertical="center" shrinkToFit="1"/>
    </xf>
    <xf numFmtId="1" fontId="15" fillId="2" borderId="20" xfId="2" applyNumberFormat="1" applyFont="1" applyFill="1" applyBorder="1" applyAlignment="1">
      <alignment horizontal="right" vertical="center" shrinkToFit="1"/>
    </xf>
    <xf numFmtId="0" fontId="17" fillId="2" borderId="42" xfId="2" applyFont="1" applyFill="1" applyBorder="1" applyAlignment="1">
      <alignment horizontal="center" vertical="center" wrapText="1"/>
    </xf>
    <xf numFmtId="1" fontId="12" fillId="2" borderId="4" xfId="2" applyNumberFormat="1" applyFont="1" applyFill="1" applyBorder="1" applyAlignment="1">
      <alignment horizontal="right" vertical="center" wrapText="1"/>
    </xf>
    <xf numFmtId="1" fontId="12" fillId="2" borderId="5" xfId="2" applyNumberFormat="1" applyFont="1" applyFill="1" applyBorder="1" applyAlignment="1">
      <alignment horizontal="right" vertical="center" wrapText="1"/>
    </xf>
    <xf numFmtId="1" fontId="12" fillId="2" borderId="42" xfId="2" applyNumberFormat="1" applyFont="1" applyFill="1" applyBorder="1" applyAlignment="1">
      <alignment horizontal="right" vertical="center" shrinkToFit="1"/>
    </xf>
    <xf numFmtId="1" fontId="13" fillId="2" borderId="4" xfId="2" applyNumberFormat="1" applyFont="1" applyFill="1" applyBorder="1" applyAlignment="1">
      <alignment horizontal="right" vertical="center" wrapText="1"/>
    </xf>
    <xf numFmtId="1" fontId="13" fillId="2" borderId="5" xfId="2" applyNumberFormat="1" applyFont="1" applyFill="1" applyBorder="1" applyAlignment="1">
      <alignment horizontal="right" vertical="center" wrapText="1"/>
    </xf>
    <xf numFmtId="1" fontId="12" fillId="2" borderId="31" xfId="2" applyNumberFormat="1" applyFont="1" applyFill="1" applyBorder="1" applyAlignment="1">
      <alignment horizontal="right" vertical="center" shrinkToFit="1"/>
    </xf>
    <xf numFmtId="1" fontId="12" fillId="2" borderId="5" xfId="2" applyNumberFormat="1" applyFont="1" applyFill="1" applyBorder="1" applyAlignment="1">
      <alignment horizontal="right" vertical="center" shrinkToFit="1"/>
    </xf>
    <xf numFmtId="1" fontId="12" fillId="2" borderId="4" xfId="2" applyNumberFormat="1" applyFont="1" applyFill="1" applyBorder="1" applyAlignment="1">
      <alignment horizontal="right" vertical="center" shrinkToFit="1"/>
    </xf>
    <xf numFmtId="1" fontId="12" fillId="2" borderId="40" xfId="2" applyNumberFormat="1" applyFont="1" applyFill="1" applyBorder="1" applyAlignment="1">
      <alignment horizontal="right" vertical="center" shrinkToFit="1"/>
    </xf>
    <xf numFmtId="0" fontId="15" fillId="0" borderId="87" xfId="2" applyFont="1" applyBorder="1" applyAlignment="1">
      <alignment horizontal="left" vertical="center" wrapText="1"/>
    </xf>
    <xf numFmtId="1" fontId="12" fillId="9" borderId="38" xfId="2" applyNumberFormat="1" applyFont="1" applyFill="1" applyBorder="1" applyAlignment="1">
      <alignment horizontal="right" vertical="center" shrinkToFit="1"/>
    </xf>
    <xf numFmtId="1" fontId="12" fillId="9" borderId="43" xfId="2" applyNumberFormat="1" applyFont="1" applyFill="1" applyBorder="1" applyAlignment="1">
      <alignment horizontal="right" vertical="center" shrinkToFit="1"/>
    </xf>
    <xf numFmtId="1" fontId="12" fillId="11" borderId="6" xfId="2" applyNumberFormat="1" applyFont="1" applyFill="1" applyBorder="1" applyAlignment="1">
      <alignment horizontal="right" vertical="center" shrinkToFit="1"/>
    </xf>
    <xf numFmtId="0" fontId="29" fillId="11" borderId="32" xfId="2" applyFill="1" applyBorder="1" applyAlignment="1">
      <alignment horizontal="left" vertical="center"/>
    </xf>
    <xf numFmtId="1" fontId="12" fillId="11" borderId="7" xfId="2" applyNumberFormat="1" applyFont="1" applyFill="1" applyBorder="1" applyAlignment="1">
      <alignment horizontal="right" vertical="center" shrinkToFit="1"/>
    </xf>
    <xf numFmtId="0" fontId="29" fillId="11" borderId="36" xfId="2" applyFill="1" applyBorder="1" applyAlignment="1">
      <alignment horizontal="left" vertical="center"/>
    </xf>
    <xf numFmtId="0" fontId="15" fillId="0" borderId="18" xfId="2" applyFont="1" applyBorder="1" applyAlignment="1">
      <alignment horizontal="left" vertical="center" wrapText="1"/>
    </xf>
    <xf numFmtId="1" fontId="15" fillId="3" borderId="85" xfId="2" applyNumberFormat="1" applyFont="1" applyFill="1" applyBorder="1" applyAlignment="1">
      <alignment horizontal="right" vertical="center" wrapText="1"/>
    </xf>
    <xf numFmtId="1" fontId="15" fillId="3" borderId="34" xfId="2" applyNumberFormat="1" applyFont="1" applyFill="1" applyBorder="1" applyAlignment="1">
      <alignment horizontal="right" vertical="center" wrapText="1"/>
    </xf>
    <xf numFmtId="1" fontId="15" fillId="3" borderId="10" xfId="2" applyNumberFormat="1" applyFont="1" applyFill="1" applyBorder="1" applyAlignment="1">
      <alignment horizontal="right" vertical="center" wrapText="1"/>
    </xf>
    <xf numFmtId="1" fontId="15" fillId="3" borderId="45" xfId="2" applyNumberFormat="1" applyFont="1" applyFill="1" applyBorder="1" applyAlignment="1">
      <alignment horizontal="right" vertical="center" wrapText="1"/>
    </xf>
    <xf numFmtId="1" fontId="15" fillId="9" borderId="85" xfId="2" applyNumberFormat="1" applyFont="1" applyFill="1" applyBorder="1" applyAlignment="1">
      <alignment horizontal="right" vertical="center" wrapText="1"/>
    </xf>
    <xf numFmtId="1" fontId="15" fillId="9" borderId="34" xfId="2" applyNumberFormat="1" applyFont="1" applyFill="1" applyBorder="1" applyAlignment="1">
      <alignment horizontal="right" vertical="center" wrapText="1"/>
    </xf>
    <xf numFmtId="1" fontId="12" fillId="2" borderId="42" xfId="2" applyNumberFormat="1" applyFont="1" applyFill="1" applyBorder="1" applyAlignment="1">
      <alignment horizontal="right" vertical="center" wrapText="1"/>
    </xf>
    <xf numFmtId="1" fontId="12" fillId="2" borderId="31" xfId="2" applyNumberFormat="1" applyFont="1" applyFill="1" applyBorder="1" applyAlignment="1">
      <alignment horizontal="right" vertical="center" wrapText="1"/>
    </xf>
    <xf numFmtId="1" fontId="12" fillId="2" borderId="40" xfId="2" applyNumberFormat="1" applyFont="1" applyFill="1" applyBorder="1" applyAlignment="1">
      <alignment horizontal="right" vertical="center" wrapText="1"/>
    </xf>
    <xf numFmtId="0" fontId="29" fillId="0" borderId="48" xfId="2" applyBorder="1" applyAlignment="1">
      <alignment horizontal="left" vertical="center"/>
    </xf>
    <xf numFmtId="0" fontId="29" fillId="3" borderId="0" xfId="2" applyFill="1" applyAlignment="1">
      <alignment horizontal="left" vertical="center"/>
    </xf>
    <xf numFmtId="1" fontId="12" fillId="9" borderId="43" xfId="2" applyNumberFormat="1" applyFont="1" applyFill="1" applyBorder="1" applyAlignment="1">
      <alignment horizontal="right" vertical="center" wrapText="1"/>
    </xf>
    <xf numFmtId="1" fontId="12" fillId="11" borderId="6" xfId="2" applyNumberFormat="1" applyFont="1" applyFill="1" applyBorder="1" applyAlignment="1">
      <alignment horizontal="right" vertical="center" wrapText="1"/>
    </xf>
    <xf numFmtId="1" fontId="13" fillId="0" borderId="1" xfId="2" applyNumberFormat="1" applyFont="1" applyBorder="1" applyAlignment="1">
      <alignment horizontal="right" vertical="center" wrapText="1"/>
    </xf>
    <xf numFmtId="1" fontId="13" fillId="0" borderId="32" xfId="2" applyNumberFormat="1" applyFont="1" applyBorder="1" applyAlignment="1">
      <alignment horizontal="right" vertical="center" wrapText="1"/>
    </xf>
    <xf numFmtId="1" fontId="12" fillId="11" borderId="7" xfId="2" applyNumberFormat="1" applyFont="1" applyFill="1" applyBorder="1" applyAlignment="1">
      <alignment horizontal="right" vertical="center" wrapText="1"/>
    </xf>
    <xf numFmtId="1" fontId="12" fillId="3" borderId="8" xfId="2" applyNumberFormat="1" applyFont="1" applyFill="1" applyBorder="1" applyAlignment="1">
      <alignment horizontal="right" vertical="center" wrapText="1"/>
    </xf>
    <xf numFmtId="1" fontId="15" fillId="0" borderId="55" xfId="2" applyNumberFormat="1" applyFont="1" applyBorder="1" applyAlignment="1">
      <alignment horizontal="right" vertical="center" wrapText="1"/>
    </xf>
    <xf numFmtId="1" fontId="15" fillId="0" borderId="53" xfId="2" applyNumberFormat="1" applyFont="1" applyBorder="1" applyAlignment="1">
      <alignment horizontal="right" vertical="center" wrapText="1"/>
    </xf>
    <xf numFmtId="1" fontId="15" fillId="0" borderId="51" xfId="2" applyNumberFormat="1" applyFont="1" applyBorder="1" applyAlignment="1">
      <alignment horizontal="right" vertical="center" wrapText="1"/>
    </xf>
    <xf numFmtId="1" fontId="15" fillId="0" borderId="52" xfId="2" applyNumberFormat="1" applyFont="1" applyBorder="1" applyAlignment="1">
      <alignment horizontal="right" vertical="center" wrapText="1"/>
    </xf>
    <xf numFmtId="1" fontId="13" fillId="0" borderId="6" xfId="2" applyNumberFormat="1" applyFont="1" applyBorder="1" applyAlignment="1">
      <alignment horizontal="center" vertical="center" wrapText="1"/>
    </xf>
    <xf numFmtId="1" fontId="12" fillId="11" borderId="32" xfId="2" applyNumberFormat="1" applyFont="1" applyFill="1" applyBorder="1" applyAlignment="1">
      <alignment horizontal="right" vertical="center" shrinkToFit="1"/>
    </xf>
    <xf numFmtId="0" fontId="15" fillId="0" borderId="21" xfId="2" applyFont="1" applyBorder="1" applyAlignment="1">
      <alignment horizontal="left" vertical="center" wrapText="1"/>
    </xf>
    <xf numFmtId="1" fontId="12" fillId="9" borderId="47" xfId="2" applyNumberFormat="1" applyFont="1" applyFill="1" applyBorder="1" applyAlignment="1">
      <alignment horizontal="right" vertical="center" shrinkToFit="1"/>
    </xf>
    <xf numFmtId="1" fontId="12" fillId="11" borderId="36" xfId="2" applyNumberFormat="1" applyFont="1" applyFill="1" applyBorder="1" applyAlignment="1">
      <alignment horizontal="right" vertical="center" shrinkToFit="1"/>
    </xf>
    <xf numFmtId="1" fontId="15" fillId="0" borderId="11" xfId="2" applyNumberFormat="1" applyFont="1" applyBorder="1" applyAlignment="1">
      <alignment horizontal="right" wrapText="1"/>
    </xf>
    <xf numFmtId="1" fontId="15" fillId="3" borderId="45" xfId="2" applyNumberFormat="1" applyFont="1" applyFill="1" applyBorder="1" applyAlignment="1">
      <alignment horizontal="right" wrapText="1"/>
    </xf>
    <xf numFmtId="1" fontId="15" fillId="0" borderId="45" xfId="2" applyNumberFormat="1" applyFont="1" applyBorder="1" applyAlignment="1">
      <alignment horizontal="right" wrapText="1"/>
    </xf>
    <xf numFmtId="1" fontId="15" fillId="2" borderId="22" xfId="2" applyNumberFormat="1" applyFont="1" applyFill="1" applyBorder="1" applyAlignment="1">
      <alignment horizontal="right" vertical="center" shrinkToFit="1"/>
    </xf>
    <xf numFmtId="0" fontId="17" fillId="2" borderId="46" xfId="2" applyFont="1" applyFill="1" applyBorder="1" applyAlignment="1">
      <alignment horizontal="center" vertical="center" wrapText="1"/>
    </xf>
    <xf numFmtId="1" fontId="12" fillId="2" borderId="15" xfId="2" applyNumberFormat="1" applyFont="1" applyFill="1" applyBorder="1" applyAlignment="1">
      <alignment horizontal="right" vertical="center" wrapText="1"/>
    </xf>
    <xf numFmtId="1" fontId="12" fillId="2" borderId="3" xfId="2" applyNumberFormat="1" applyFont="1" applyFill="1" applyBorder="1" applyAlignment="1">
      <alignment horizontal="right" vertical="center" wrapText="1"/>
    </xf>
    <xf numFmtId="1" fontId="12" fillId="2" borderId="46" xfId="2" applyNumberFormat="1" applyFont="1" applyFill="1" applyBorder="1" applyAlignment="1">
      <alignment horizontal="right" vertical="center" wrapText="1"/>
    </xf>
    <xf numFmtId="1" fontId="12" fillId="2" borderId="35" xfId="2" applyNumberFormat="1" applyFont="1" applyFill="1" applyBorder="1" applyAlignment="1">
      <alignment horizontal="right" vertical="center" wrapText="1"/>
    </xf>
    <xf numFmtId="1" fontId="12" fillId="2" borderId="50" xfId="2" applyNumberFormat="1" applyFont="1" applyFill="1" applyBorder="1" applyAlignment="1">
      <alignment horizontal="right" vertical="center" wrapText="1"/>
    </xf>
    <xf numFmtId="1" fontId="12" fillId="9" borderId="38" xfId="2" applyNumberFormat="1" applyFont="1" applyFill="1" applyBorder="1" applyAlignment="1">
      <alignment horizontal="right" vertical="center" wrapText="1"/>
    </xf>
    <xf numFmtId="1" fontId="12" fillId="9" borderId="32" xfId="2" applyNumberFormat="1" applyFont="1" applyFill="1" applyBorder="1" applyAlignment="1">
      <alignment horizontal="right" vertical="center" wrapText="1"/>
    </xf>
    <xf numFmtId="1" fontId="12" fillId="11" borderId="32" xfId="2" applyNumberFormat="1" applyFont="1" applyFill="1" applyBorder="1" applyAlignment="1">
      <alignment horizontal="right" vertical="center" wrapText="1"/>
    </xf>
    <xf numFmtId="1" fontId="12" fillId="9" borderId="32" xfId="2" applyNumberFormat="1" applyFont="1" applyFill="1" applyBorder="1" applyAlignment="1">
      <alignment horizontal="right" vertical="center" shrinkToFit="1"/>
    </xf>
    <xf numFmtId="0" fontId="15" fillId="0" borderId="19" xfId="2" applyFont="1" applyBorder="1" applyAlignment="1">
      <alignment horizontal="left" vertical="center" wrapText="1"/>
    </xf>
    <xf numFmtId="1" fontId="12" fillId="3" borderId="49" xfId="2" applyNumberFormat="1" applyFont="1" applyFill="1" applyBorder="1" applyAlignment="1">
      <alignment horizontal="right" vertical="center" wrapText="1"/>
    </xf>
    <xf numFmtId="1" fontId="12" fillId="3" borderId="33" xfId="2" applyNumberFormat="1" applyFont="1" applyFill="1" applyBorder="1" applyAlignment="1">
      <alignment horizontal="right" vertical="center" wrapText="1"/>
    </xf>
    <xf numFmtId="1" fontId="12" fillId="3" borderId="9" xfId="2" applyNumberFormat="1" applyFont="1" applyFill="1" applyBorder="1" applyAlignment="1">
      <alignment horizontal="right" vertical="center" wrapText="1"/>
    </xf>
    <xf numFmtId="1" fontId="12" fillId="3" borderId="44" xfId="2" applyNumberFormat="1" applyFont="1" applyFill="1" applyBorder="1" applyAlignment="1">
      <alignment horizontal="right" vertical="center" wrapText="1"/>
    </xf>
    <xf numFmtId="1" fontId="12" fillId="9" borderId="33" xfId="2" applyNumberFormat="1" applyFont="1" applyFill="1" applyBorder="1" applyAlignment="1">
      <alignment horizontal="right" vertical="center" wrapText="1"/>
    </xf>
    <xf numFmtId="1" fontId="12" fillId="11" borderId="36" xfId="2" applyNumberFormat="1" applyFont="1" applyFill="1" applyBorder="1" applyAlignment="1">
      <alignment horizontal="right" vertical="center" wrapText="1"/>
    </xf>
    <xf numFmtId="1" fontId="15" fillId="3" borderId="34" xfId="2" applyNumberFormat="1" applyFont="1" applyFill="1" applyBorder="1" applyAlignment="1">
      <alignment horizontal="right" wrapText="1"/>
    </xf>
    <xf numFmtId="1" fontId="15" fillId="9" borderId="34" xfId="2" applyNumberFormat="1" applyFont="1" applyFill="1" applyBorder="1" applyAlignment="1">
      <alignment horizontal="right" wrapText="1"/>
    </xf>
    <xf numFmtId="0" fontId="15" fillId="0" borderId="20" xfId="2" applyFont="1" applyBorder="1" applyAlignment="1">
      <alignment horizontal="left" vertical="center" wrapText="1"/>
    </xf>
    <xf numFmtId="0" fontId="12" fillId="0" borderId="42" xfId="2" applyFont="1" applyBorder="1" applyAlignment="1">
      <alignment horizontal="left" vertical="center" wrapText="1"/>
    </xf>
    <xf numFmtId="1" fontId="12" fillId="0" borderId="4" xfId="2" applyNumberFormat="1" applyFont="1" applyBorder="1" applyAlignment="1">
      <alignment horizontal="right" vertical="center" wrapText="1"/>
    </xf>
    <xf numFmtId="1" fontId="12" fillId="0" borderId="5" xfId="2" applyNumberFormat="1" applyFont="1" applyBorder="1" applyAlignment="1">
      <alignment horizontal="right" vertical="center" wrapText="1"/>
    </xf>
    <xf numFmtId="0" fontId="12" fillId="0" borderId="42" xfId="2" applyFont="1" applyBorder="1" applyAlignment="1">
      <alignment horizontal="left" vertical="center"/>
    </xf>
    <xf numFmtId="0" fontId="12" fillId="0" borderId="4" xfId="2" applyFont="1" applyBorder="1" applyAlignment="1">
      <alignment horizontal="left" vertical="center"/>
    </xf>
    <xf numFmtId="0" fontId="12" fillId="0" borderId="5" xfId="2" applyFont="1" applyBorder="1" applyAlignment="1">
      <alignment horizontal="left" vertical="center"/>
    </xf>
    <xf numFmtId="0" fontId="12" fillId="0" borderId="31" xfId="2" applyFont="1" applyBorder="1" applyAlignment="1">
      <alignment horizontal="left" vertical="center"/>
    </xf>
    <xf numFmtId="0" fontId="12" fillId="0" borderId="40" xfId="2" applyFont="1" applyBorder="1" applyAlignment="1">
      <alignment horizontal="left" vertical="center"/>
    </xf>
    <xf numFmtId="0" fontId="12" fillId="0" borderId="10" xfId="2" applyFont="1" applyBorder="1" applyAlignment="1">
      <alignment horizontal="left" vertical="center"/>
    </xf>
    <xf numFmtId="0" fontId="12" fillId="0" borderId="11" xfId="2" applyFont="1" applyBorder="1" applyAlignment="1">
      <alignment horizontal="left" vertical="center"/>
    </xf>
    <xf numFmtId="0" fontId="12" fillId="0" borderId="85" xfId="2" applyFont="1" applyBorder="1" applyAlignment="1">
      <alignment horizontal="left" vertical="center"/>
    </xf>
    <xf numFmtId="0" fontId="12" fillId="0" borderId="45" xfId="2" applyFont="1" applyBorder="1" applyAlignment="1">
      <alignment horizontal="left" vertical="center"/>
    </xf>
    <xf numFmtId="0" fontId="29" fillId="0" borderId="27" xfId="2" applyBorder="1" applyAlignment="1">
      <alignment horizontal="left" vertical="center"/>
    </xf>
    <xf numFmtId="0" fontId="12" fillId="0" borderId="34" xfId="2" applyFont="1" applyBorder="1" applyAlignment="1">
      <alignment horizontal="left" vertical="center"/>
    </xf>
    <xf numFmtId="1" fontId="15" fillId="0" borderId="27" xfId="2" applyNumberFormat="1" applyFont="1" applyBorder="1" applyAlignment="1">
      <alignment vertical="center" wrapText="1"/>
    </xf>
    <xf numFmtId="0" fontId="15" fillId="0" borderId="4" xfId="2" applyFont="1" applyBorder="1" applyAlignment="1">
      <alignment horizontal="left" vertical="center" wrapText="1"/>
    </xf>
    <xf numFmtId="1" fontId="12" fillId="0" borderId="4" xfId="2" applyNumberFormat="1" applyFont="1" applyBorder="1" applyAlignment="1">
      <alignment vertical="center" wrapText="1"/>
    </xf>
    <xf numFmtId="1" fontId="12" fillId="0" borderId="5" xfId="2" applyNumberFormat="1" applyFont="1" applyBorder="1" applyAlignment="1">
      <alignment vertical="center" wrapText="1"/>
    </xf>
    <xf numFmtId="1" fontId="12" fillId="0" borderId="42" xfId="2" applyNumberFormat="1" applyFont="1" applyBorder="1" applyAlignment="1">
      <alignment vertical="center" wrapText="1"/>
    </xf>
    <xf numFmtId="1" fontId="12" fillId="0" borderId="31" xfId="2" applyNumberFormat="1" applyFont="1" applyBorder="1" applyAlignment="1">
      <alignment vertical="center" wrapText="1"/>
    </xf>
    <xf numFmtId="1" fontId="12" fillId="0" borderId="40" xfId="2" applyNumberFormat="1" applyFont="1" applyBorder="1" applyAlignment="1">
      <alignment vertical="center" wrapText="1"/>
    </xf>
    <xf numFmtId="1" fontId="15" fillId="2" borderId="19" xfId="2" applyNumberFormat="1" applyFont="1" applyFill="1" applyBorder="1" applyAlignment="1">
      <alignment horizontal="right" vertical="center" shrinkToFit="1"/>
    </xf>
    <xf numFmtId="0" fontId="17" fillId="2" borderId="44" xfId="2" applyFont="1" applyFill="1" applyBorder="1" applyAlignment="1">
      <alignment horizontal="center" vertical="center" wrapText="1"/>
    </xf>
    <xf numFmtId="1" fontId="12" fillId="2" borderId="9" xfId="2" applyNumberFormat="1" applyFont="1" applyFill="1" applyBorder="1" applyAlignment="1">
      <alignment horizontal="right" vertical="center" shrinkToFit="1"/>
    </xf>
    <xf numFmtId="1" fontId="12" fillId="2" borderId="2" xfId="2" applyNumberFormat="1" applyFont="1" applyFill="1" applyBorder="1" applyAlignment="1">
      <alignment horizontal="right" vertical="center" shrinkToFit="1"/>
    </xf>
    <xf numFmtId="1" fontId="12" fillId="2" borderId="44" xfId="2" applyNumberFormat="1" applyFont="1" applyFill="1" applyBorder="1" applyAlignment="1">
      <alignment horizontal="right" vertical="center" shrinkToFit="1"/>
    </xf>
    <xf numFmtId="1" fontId="12" fillId="2" borderId="33" xfId="2" applyNumberFormat="1" applyFont="1" applyFill="1" applyBorder="1" applyAlignment="1">
      <alignment horizontal="right" vertical="center" shrinkToFit="1"/>
    </xf>
    <xf numFmtId="1" fontId="12" fillId="2" borderId="49" xfId="2" applyNumberFormat="1" applyFont="1" applyFill="1" applyBorder="1" applyAlignment="1">
      <alignment horizontal="right" vertical="center" shrinkToFit="1"/>
    </xf>
    <xf numFmtId="1" fontId="12" fillId="2" borderId="86" xfId="2" applyNumberFormat="1" applyFont="1" applyFill="1" applyBorder="1" applyAlignment="1">
      <alignment horizontal="right" vertical="center" shrinkToFit="1"/>
    </xf>
    <xf numFmtId="0" fontId="14" fillId="0" borderId="7" xfId="2" applyFont="1" applyBorder="1" applyAlignment="1">
      <alignment horizontal="left" vertical="center"/>
    </xf>
    <xf numFmtId="0" fontId="12" fillId="0" borderId="47" xfId="2" applyFont="1" applyBorder="1" applyAlignment="1">
      <alignment horizontal="left" vertical="center" wrapText="1"/>
    </xf>
    <xf numFmtId="1" fontId="12" fillId="0" borderId="7" xfId="2" applyNumberFormat="1" applyFont="1" applyBorder="1" applyAlignment="1">
      <alignment vertical="center" wrapText="1"/>
    </xf>
    <xf numFmtId="1" fontId="12" fillId="0" borderId="8" xfId="2" applyNumberFormat="1" applyFont="1" applyBorder="1" applyAlignment="1">
      <alignment vertical="center" wrapText="1"/>
    </xf>
    <xf numFmtId="1" fontId="12" fillId="0" borderId="36" xfId="2" applyNumberFormat="1" applyFont="1" applyBorder="1" applyAlignment="1">
      <alignment vertical="center" wrapText="1"/>
    </xf>
    <xf numFmtId="1" fontId="12" fillId="0" borderId="39" xfId="2" applyNumberFormat="1" applyFont="1" applyBorder="1" applyAlignment="1">
      <alignment vertical="center" wrapText="1"/>
    </xf>
    <xf numFmtId="1" fontId="18" fillId="0" borderId="10" xfId="2" applyNumberFormat="1" applyFont="1" applyBorder="1" applyAlignment="1">
      <alignment horizontal="right" vertical="center"/>
    </xf>
    <xf numFmtId="1" fontId="18" fillId="0" borderId="11" xfId="2" applyNumberFormat="1" applyFont="1" applyBorder="1" applyAlignment="1">
      <alignment horizontal="right" vertical="center"/>
    </xf>
    <xf numFmtId="1" fontId="18" fillId="0" borderId="45" xfId="2" applyNumberFormat="1" applyFont="1" applyBorder="1" applyAlignment="1">
      <alignment horizontal="right" vertical="center"/>
    </xf>
    <xf numFmtId="1" fontId="18" fillId="0" borderId="34" xfId="2" applyNumberFormat="1" applyFont="1" applyBorder="1" applyAlignment="1">
      <alignment horizontal="right" vertical="center"/>
    </xf>
    <xf numFmtId="1" fontId="18" fillId="0" borderId="85" xfId="2" applyNumberFormat="1" applyFont="1" applyBorder="1" applyAlignment="1">
      <alignment horizontal="right" vertical="center"/>
    </xf>
    <xf numFmtId="1" fontId="18" fillId="0" borderId="59" xfId="2" applyNumberFormat="1" applyFont="1" applyBorder="1" applyAlignment="1">
      <alignment horizontal="right" vertical="center"/>
    </xf>
    <xf numFmtId="0" fontId="15" fillId="0" borderId="10" xfId="2" applyFont="1" applyBorder="1" applyAlignment="1">
      <alignment horizontal="right" vertical="center" wrapText="1"/>
    </xf>
    <xf numFmtId="0" fontId="12" fillId="0" borderId="45" xfId="2" applyFont="1" applyBorder="1" applyAlignment="1">
      <alignment horizontal="center" vertical="center" wrapText="1"/>
    </xf>
    <xf numFmtId="1" fontId="10" fillId="0" borderId="10" xfId="2" applyNumberFormat="1" applyFont="1" applyBorder="1" applyAlignment="1">
      <alignment horizontal="right" vertical="center"/>
    </xf>
    <xf numFmtId="1" fontId="10" fillId="0" borderId="18" xfId="2" applyNumberFormat="1" applyFont="1" applyBorder="1" applyAlignment="1">
      <alignment horizontal="right" vertical="center"/>
    </xf>
    <xf numFmtId="1" fontId="10" fillId="0" borderId="59" xfId="2" applyNumberFormat="1" applyFont="1" applyBorder="1" applyAlignment="1">
      <alignment horizontal="right" vertical="center"/>
    </xf>
    <xf numFmtId="0" fontId="14" fillId="0" borderId="0" xfId="2" applyFont="1" applyAlignment="1">
      <alignment horizontal="left" vertical="center"/>
    </xf>
    <xf numFmtId="0" fontId="10" fillId="0" borderId="0" xfId="2" applyFont="1" applyAlignment="1">
      <alignment horizontal="left" vertical="center"/>
    </xf>
    <xf numFmtId="2" fontId="12" fillId="0" borderId="0" xfId="2" applyNumberFormat="1" applyFont="1" applyAlignment="1">
      <alignment horizontal="left" vertical="center"/>
    </xf>
    <xf numFmtId="2" fontId="29" fillId="0" borderId="0" xfId="2" applyNumberFormat="1" applyAlignment="1">
      <alignment horizontal="left" vertical="center"/>
    </xf>
    <xf numFmtId="0" fontId="21" fillId="0" borderId="0" xfId="2" applyFont="1" applyAlignment="1">
      <alignment horizontal="left" vertical="center"/>
    </xf>
    <xf numFmtId="1" fontId="12" fillId="0" borderId="60" xfId="2" applyNumberFormat="1" applyFont="1" applyBorder="1" applyAlignment="1">
      <alignment horizontal="right" vertical="center" wrapText="1"/>
    </xf>
    <xf numFmtId="0" fontId="29" fillId="0" borderId="0" xfId="2" quotePrefix="1" applyAlignment="1">
      <alignment horizontal="left" vertical="center"/>
    </xf>
    <xf numFmtId="0" fontId="12" fillId="8" borderId="38" xfId="2" applyFont="1" applyFill="1" applyBorder="1" applyAlignment="1">
      <alignment horizontal="right" vertical="center"/>
    </xf>
    <xf numFmtId="0" fontId="12" fillId="8" borderId="49" xfId="2" applyFont="1" applyFill="1" applyBorder="1" applyAlignment="1">
      <alignment horizontal="right" vertical="center"/>
    </xf>
    <xf numFmtId="0" fontId="13" fillId="0" borderId="46" xfId="2" applyFont="1" applyBorder="1" applyAlignment="1">
      <alignment horizontal="left" vertical="center" wrapText="1"/>
    </xf>
    <xf numFmtId="1" fontId="12" fillId="0" borderId="15" xfId="2" applyNumberFormat="1" applyFont="1" applyBorder="1" applyAlignment="1">
      <alignment vertical="center" shrinkToFit="1"/>
    </xf>
    <xf numFmtId="1" fontId="12" fillId="0" borderId="3" xfId="2" applyNumberFormat="1" applyFont="1" applyBorder="1" applyAlignment="1">
      <alignment horizontal="right" vertical="center" shrinkToFit="1"/>
    </xf>
    <xf numFmtId="1" fontId="12" fillId="0" borderId="15" xfId="2" applyNumberFormat="1" applyFont="1" applyBorder="1" applyAlignment="1">
      <alignment horizontal="right" vertical="center" shrinkToFit="1"/>
    </xf>
    <xf numFmtId="1" fontId="12" fillId="0" borderId="35" xfId="2" applyNumberFormat="1" applyFont="1" applyBorder="1" applyAlignment="1">
      <alignment horizontal="left" vertical="center" wrapText="1"/>
    </xf>
    <xf numFmtId="1" fontId="12" fillId="0" borderId="50" xfId="2" applyNumberFormat="1" applyFont="1" applyBorder="1" applyAlignment="1">
      <alignment horizontal="right" vertical="center" shrinkToFit="1"/>
    </xf>
    <xf numFmtId="1" fontId="12" fillId="0" borderId="3" xfId="2" applyNumberFormat="1" applyFont="1" applyBorder="1" applyAlignment="1">
      <alignment horizontal="left" vertical="center" wrapText="1"/>
    </xf>
    <xf numFmtId="1" fontId="12" fillId="3" borderId="50" xfId="2" applyNumberFormat="1" applyFont="1" applyFill="1" applyBorder="1" applyAlignment="1">
      <alignment horizontal="right" vertical="center" wrapText="1"/>
    </xf>
    <xf numFmtId="1" fontId="12" fillId="3" borderId="35" xfId="2" applyNumberFormat="1" applyFont="1" applyFill="1" applyBorder="1" applyAlignment="1">
      <alignment horizontal="right" vertical="center" wrapText="1"/>
    </xf>
    <xf numFmtId="1" fontId="12" fillId="3" borderId="15" xfId="2" applyNumberFormat="1" applyFont="1" applyFill="1" applyBorder="1" applyAlignment="1">
      <alignment horizontal="right" vertical="center" wrapText="1"/>
    </xf>
    <xf numFmtId="1" fontId="12" fillId="3" borderId="46" xfId="2" applyNumberFormat="1" applyFont="1" applyFill="1" applyBorder="1" applyAlignment="1">
      <alignment horizontal="right" vertical="center" wrapText="1"/>
    </xf>
    <xf numFmtId="0" fontId="12" fillId="0" borderId="50" xfId="2" applyFont="1" applyBorder="1" applyAlignment="1">
      <alignment horizontal="right" vertical="center"/>
    </xf>
    <xf numFmtId="1" fontId="12" fillId="8" borderId="50" xfId="2" applyNumberFormat="1" applyFont="1" applyFill="1" applyBorder="1" applyAlignment="1">
      <alignment horizontal="right" vertical="center" wrapText="1"/>
    </xf>
    <xf numFmtId="1" fontId="12" fillId="8" borderId="35" xfId="2" applyNumberFormat="1" applyFont="1" applyFill="1" applyBorder="1" applyAlignment="1">
      <alignment horizontal="right" vertical="center" wrapText="1"/>
    </xf>
    <xf numFmtId="0" fontId="12" fillId="0" borderId="15" xfId="2" applyFont="1" applyBorder="1" applyAlignment="1">
      <alignment horizontal="right" vertical="center"/>
    </xf>
    <xf numFmtId="0" fontId="12" fillId="0" borderId="3" xfId="2" applyFont="1" applyBorder="1" applyAlignment="1">
      <alignment horizontal="right" vertical="center"/>
    </xf>
    <xf numFmtId="1" fontId="12" fillId="8" borderId="15" xfId="2" applyNumberFormat="1" applyFont="1" applyFill="1" applyBorder="1" applyAlignment="1">
      <alignment horizontal="right" vertical="center" wrapText="1"/>
    </xf>
    <xf numFmtId="0" fontId="12" fillId="3" borderId="50" xfId="2" applyFont="1" applyFill="1" applyBorder="1" applyAlignment="1">
      <alignment horizontal="right" vertical="center"/>
    </xf>
    <xf numFmtId="1" fontId="12" fillId="3" borderId="3" xfId="2" applyNumberFormat="1" applyFont="1" applyFill="1" applyBorder="1" applyAlignment="1">
      <alignment horizontal="right" vertical="center" wrapText="1"/>
    </xf>
    <xf numFmtId="0" fontId="12" fillId="3" borderId="3" xfId="2" applyFont="1" applyFill="1" applyBorder="1" applyAlignment="1">
      <alignment horizontal="right" vertical="center"/>
    </xf>
    <xf numFmtId="1" fontId="12" fillId="8" borderId="6" xfId="2" applyNumberFormat="1" applyFont="1" applyFill="1" applyBorder="1" applyAlignment="1">
      <alignment vertical="center"/>
    </xf>
    <xf numFmtId="1" fontId="15" fillId="0" borderId="27" xfId="2" applyNumberFormat="1" applyFont="1" applyBorder="1" applyAlignment="1">
      <alignment horizontal="right" vertical="center" wrapText="1"/>
    </xf>
    <xf numFmtId="1" fontId="15" fillId="0" borderId="25" xfId="2" applyNumberFormat="1" applyFont="1" applyBorder="1" applyAlignment="1">
      <alignment horizontal="right" vertical="center" wrapText="1"/>
    </xf>
    <xf numFmtId="1" fontId="15" fillId="0" borderId="54" xfId="2" applyNumberFormat="1" applyFont="1" applyBorder="1" applyAlignment="1">
      <alignment horizontal="right" vertical="center" wrapText="1"/>
    </xf>
    <xf numFmtId="1" fontId="15" fillId="0" borderId="10" xfId="2" applyNumberFormat="1" applyFont="1" applyBorder="1" applyAlignment="1">
      <alignment horizontal="right" wrapText="1"/>
    </xf>
    <xf numFmtId="1" fontId="15" fillId="0" borderId="27" xfId="2" applyNumberFormat="1" applyFont="1" applyBorder="1" applyAlignment="1">
      <alignment horizontal="right" wrapText="1"/>
    </xf>
    <xf numFmtId="1" fontId="15" fillId="0" borderId="34" xfId="2" applyNumberFormat="1" applyFont="1" applyBorder="1" applyAlignment="1">
      <alignment horizontal="right" wrapText="1"/>
    </xf>
    <xf numFmtId="0" fontId="12" fillId="0" borderId="60" xfId="2" applyFont="1" applyBorder="1" applyAlignment="1">
      <alignment horizontal="right" vertical="center"/>
    </xf>
    <xf numFmtId="0" fontId="12" fillId="0" borderId="86" xfId="2" applyFont="1" applyBorder="1" applyAlignment="1">
      <alignment horizontal="right" vertical="center"/>
    </xf>
    <xf numFmtId="0" fontId="20" fillId="5" borderId="17" xfId="2" applyFont="1" applyFill="1" applyBorder="1" applyAlignment="1">
      <alignment horizontal="center" vertical="center" wrapText="1"/>
    </xf>
    <xf numFmtId="0" fontId="20" fillId="5" borderId="24" xfId="2" applyFont="1" applyFill="1" applyBorder="1" applyAlignment="1">
      <alignment horizontal="center" vertical="center" wrapText="1"/>
    </xf>
    <xf numFmtId="0" fontId="9" fillId="7" borderId="83" xfId="2" applyFont="1" applyFill="1" applyBorder="1" applyAlignment="1">
      <alignment horizontal="center" vertical="center" wrapText="1"/>
    </xf>
    <xf numFmtId="0" fontId="9" fillId="7" borderId="84" xfId="2" applyFont="1" applyFill="1" applyBorder="1" applyAlignment="1">
      <alignment horizontal="center" vertical="center" wrapText="1"/>
    </xf>
    <xf numFmtId="0" fontId="9" fillId="2" borderId="42" xfId="2" applyFont="1" applyFill="1" applyBorder="1" applyAlignment="1">
      <alignment horizontal="center" vertical="center" wrapText="1"/>
    </xf>
    <xf numFmtId="0" fontId="9" fillId="2" borderId="47" xfId="2" applyFont="1" applyFill="1" applyBorder="1" applyAlignment="1">
      <alignment horizontal="center" vertical="center" wrapText="1"/>
    </xf>
    <xf numFmtId="0" fontId="26" fillId="0" borderId="18" xfId="1" applyFont="1" applyBorder="1" applyAlignment="1">
      <alignment horizontal="center"/>
    </xf>
    <xf numFmtId="0" fontId="26" fillId="0" borderId="12" xfId="1" applyFont="1" applyBorder="1" applyAlignment="1">
      <alignment horizontal="center"/>
    </xf>
    <xf numFmtId="0" fontId="26" fillId="0" borderId="27" xfId="1" applyFont="1" applyBorder="1" applyAlignment="1">
      <alignment horizontal="center"/>
    </xf>
  </cellXfs>
  <cellStyles count="3">
    <cellStyle name="Normal" xfId="0" builtinId="0"/>
    <cellStyle name="Normal 2" xfId="1" xr:uid="{8F78F2DE-710E-4077-A305-D5E4FAEF39CE}"/>
    <cellStyle name="Normal 2 2" xfId="2" xr:uid="{54DC08B8-5BA6-4108-8486-7663240BCC76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1800" b="1" u="sng"/>
              <a:t>DEPENSES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0269573589733445"/>
          <c:y val="0.14341495896522449"/>
          <c:w val="0.90682206626020123"/>
          <c:h val="0.60605171683835179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'RECAP AG'!$B$1:$B$2</c:f>
              <c:strCache>
                <c:ptCount val="2"/>
                <c:pt idx="0">
                  <c:v>Résultats</c:v>
                </c:pt>
                <c:pt idx="1">
                  <c:v>2024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f>'RECAP AG'!$A$3:$A$7</c:f>
              <c:strCache>
                <c:ptCount val="5"/>
                <c:pt idx="0">
                  <c:v>Achats et Fournitures</c:v>
                </c:pt>
                <c:pt idx="1">
                  <c:v>Déplacements et stages</c:v>
                </c:pt>
                <c:pt idx="2">
                  <c:v>Licences FFA</c:v>
                </c:pt>
                <c:pt idx="3">
                  <c:v>Salaires et charges</c:v>
                </c:pt>
                <c:pt idx="4">
                  <c:v>Amortissements / Régul. Charges</c:v>
                </c:pt>
              </c:strCache>
            </c:strRef>
          </c:cat>
          <c:val>
            <c:numRef>
              <c:f>'RECAP AG'!$B$3:$B$7</c:f>
              <c:numCache>
                <c:formatCode>0</c:formatCode>
                <c:ptCount val="5"/>
                <c:pt idx="0">
                  <c:v>83333</c:v>
                </c:pt>
                <c:pt idx="1">
                  <c:v>72513.86</c:v>
                </c:pt>
                <c:pt idx="2">
                  <c:v>47340.57</c:v>
                </c:pt>
                <c:pt idx="3">
                  <c:v>166919.57999999999</c:v>
                </c:pt>
                <c:pt idx="4">
                  <c:v>25653.79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DA1-4CA2-972C-15726449FF78}"/>
            </c:ext>
          </c:extLst>
        </c:ser>
        <c:ser>
          <c:idx val="3"/>
          <c:order val="1"/>
          <c:tx>
            <c:strRef>
              <c:f>'RECAP AG'!$C$1:$C$2</c:f>
              <c:strCache>
                <c:ptCount val="2"/>
                <c:pt idx="0">
                  <c:v>Résultats</c:v>
                </c:pt>
                <c:pt idx="1">
                  <c:v>2025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cat>
            <c:strRef>
              <c:f>'RECAP AG'!$A$3:$A$7</c:f>
              <c:strCache>
                <c:ptCount val="5"/>
                <c:pt idx="0">
                  <c:v>Achats et Fournitures</c:v>
                </c:pt>
                <c:pt idx="1">
                  <c:v>Déplacements et stages</c:v>
                </c:pt>
                <c:pt idx="2">
                  <c:v>Licences FFA</c:v>
                </c:pt>
                <c:pt idx="3">
                  <c:v>Salaires et charges</c:v>
                </c:pt>
                <c:pt idx="4">
                  <c:v>Amortissements / Régul. Charges</c:v>
                </c:pt>
              </c:strCache>
            </c:strRef>
          </c:cat>
          <c:val>
            <c:numRef>
              <c:f>'RECAP AG'!$C$3:$C$7</c:f>
              <c:numCache>
                <c:formatCode>0</c:formatCode>
                <c:ptCount val="5"/>
                <c:pt idx="0">
                  <c:v>81226.780000000013</c:v>
                </c:pt>
                <c:pt idx="1">
                  <c:v>64534.14</c:v>
                </c:pt>
                <c:pt idx="2">
                  <c:v>45580.63</c:v>
                </c:pt>
                <c:pt idx="3">
                  <c:v>179258.17999999996</c:v>
                </c:pt>
                <c:pt idx="4">
                  <c:v>52599.81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DA1-4CA2-972C-15726449FF78}"/>
            </c:ext>
          </c:extLst>
        </c:ser>
        <c:ser>
          <c:idx val="0"/>
          <c:order val="2"/>
          <c:tx>
            <c:strRef>
              <c:f>'RECAP AG'!$D$1:$D$2</c:f>
              <c:strCache>
                <c:ptCount val="2"/>
                <c:pt idx="0">
                  <c:v>Prév.</c:v>
                </c:pt>
                <c:pt idx="1">
                  <c:v>2026</c:v>
                </c:pt>
              </c:strCache>
            </c:strRef>
          </c:tx>
          <c:spPr>
            <a:solidFill>
              <a:schemeClr val="accent1">
                <a:lumMod val="20000"/>
                <a:lumOff val="80000"/>
              </a:schemeClr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val>
            <c:numRef>
              <c:f>'RECAP AG'!$D$3:$D$7</c:f>
              <c:numCache>
                <c:formatCode>0</c:formatCode>
                <c:ptCount val="5"/>
                <c:pt idx="0">
                  <c:v>78850</c:v>
                </c:pt>
                <c:pt idx="1">
                  <c:v>89300</c:v>
                </c:pt>
                <c:pt idx="2">
                  <c:v>48550</c:v>
                </c:pt>
                <c:pt idx="3">
                  <c:v>182500</c:v>
                </c:pt>
                <c:pt idx="4">
                  <c:v>30000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93-42F1-A216-86130B8411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20"/>
        <c:axId val="1131800240"/>
        <c:axId val="1131795248"/>
      </c:barChart>
      <c:catAx>
        <c:axId val="1131800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131795248"/>
        <c:crosses val="autoZero"/>
        <c:auto val="1"/>
        <c:lblAlgn val="ctr"/>
        <c:lblOffset val="100"/>
        <c:noMultiLvlLbl val="0"/>
      </c:catAx>
      <c:valAx>
        <c:axId val="11317952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131800240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1800" b="1" u="sng"/>
              <a:t>RECETTES</a:t>
            </a:r>
          </a:p>
        </c:rich>
      </c:tx>
      <c:layout>
        <c:manualLayout>
          <c:xMode val="edge"/>
          <c:yMode val="edge"/>
          <c:x val="0.45238108993613335"/>
          <c:y val="2.01383640715747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3813456987318753"/>
          <c:y val="4.4476517205617412E-2"/>
          <c:w val="0.87474884262401364"/>
          <c:h val="0.67684537097680519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'RECAP AG'!$B$9:$B$10</c:f>
              <c:strCache>
                <c:ptCount val="2"/>
                <c:pt idx="0">
                  <c:v>Résutats</c:v>
                </c:pt>
                <c:pt idx="1">
                  <c:v>2024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f>'RECAP AG'!$A$11:$A$16</c:f>
              <c:strCache>
                <c:ptCount val="6"/>
                <c:pt idx="0">
                  <c:v>Ventes et Prestations </c:v>
                </c:pt>
                <c:pt idx="1">
                  <c:v>Subventions Etat / CD Isère</c:v>
                </c:pt>
                <c:pt idx="2">
                  <c:v>Subventions Bourgoin-Jallieu / CAPI</c:v>
                </c:pt>
                <c:pt idx="3">
                  <c:v>Cotisations</c:v>
                </c:pt>
                <c:pt idx="4">
                  <c:v>Autres Recettes / Régul Prod. / Subv. Salle Ammort</c:v>
                </c:pt>
                <c:pt idx="5">
                  <c:v>Total Produits</c:v>
                </c:pt>
              </c:strCache>
            </c:strRef>
          </c:cat>
          <c:val>
            <c:numRef>
              <c:f>'RECAP AG'!$B$11:$B$15</c:f>
              <c:numCache>
                <c:formatCode>0</c:formatCode>
                <c:ptCount val="5"/>
                <c:pt idx="0">
                  <c:v>67567.05</c:v>
                </c:pt>
                <c:pt idx="1">
                  <c:v>86620</c:v>
                </c:pt>
                <c:pt idx="2">
                  <c:v>78000</c:v>
                </c:pt>
                <c:pt idx="3">
                  <c:v>109234.44</c:v>
                </c:pt>
                <c:pt idx="4">
                  <c:v>52462.21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797-4E5D-94D0-0F9F4C6BF9CE}"/>
            </c:ext>
          </c:extLst>
        </c:ser>
        <c:ser>
          <c:idx val="3"/>
          <c:order val="1"/>
          <c:tx>
            <c:strRef>
              <c:f>'RECAP AG'!$C$9:$C$10</c:f>
              <c:strCache>
                <c:ptCount val="2"/>
                <c:pt idx="0">
                  <c:v>Résutats</c:v>
                </c:pt>
                <c:pt idx="1">
                  <c:v>2025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cat>
            <c:strRef>
              <c:f>'RECAP AG'!$A$11:$A$16</c:f>
              <c:strCache>
                <c:ptCount val="6"/>
                <c:pt idx="0">
                  <c:v>Ventes et Prestations </c:v>
                </c:pt>
                <c:pt idx="1">
                  <c:v>Subventions Etat / CD Isère</c:v>
                </c:pt>
                <c:pt idx="2">
                  <c:v>Subventions Bourgoin-Jallieu / CAPI</c:v>
                </c:pt>
                <c:pt idx="3">
                  <c:v>Cotisations</c:v>
                </c:pt>
                <c:pt idx="4">
                  <c:v>Autres Recettes / Régul Prod. / Subv. Salle Ammort</c:v>
                </c:pt>
                <c:pt idx="5">
                  <c:v>Total Produits</c:v>
                </c:pt>
              </c:strCache>
            </c:strRef>
          </c:cat>
          <c:val>
            <c:numRef>
              <c:f>'RECAP AG'!$C$11:$C$15</c:f>
              <c:numCache>
                <c:formatCode>0</c:formatCode>
                <c:ptCount val="5"/>
                <c:pt idx="0">
                  <c:v>80220.02</c:v>
                </c:pt>
                <c:pt idx="1">
                  <c:v>74250</c:v>
                </c:pt>
                <c:pt idx="2">
                  <c:v>76000</c:v>
                </c:pt>
                <c:pt idx="3">
                  <c:v>123421.5</c:v>
                </c:pt>
                <c:pt idx="4">
                  <c:v>75073.149999999994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797-4E5D-94D0-0F9F4C6BF9CE}"/>
            </c:ext>
          </c:extLst>
        </c:ser>
        <c:ser>
          <c:idx val="0"/>
          <c:order val="2"/>
          <c:tx>
            <c:strRef>
              <c:f>'RECAP AG'!$D$9:$D$10</c:f>
              <c:strCache>
                <c:ptCount val="2"/>
                <c:pt idx="0">
                  <c:v>Prév.</c:v>
                </c:pt>
                <c:pt idx="1">
                  <c:v>2026</c:v>
                </c:pt>
              </c:strCache>
            </c:strRef>
          </c:tx>
          <c:spPr>
            <a:solidFill>
              <a:schemeClr val="accent6">
                <a:lumMod val="20000"/>
                <a:lumOff val="80000"/>
              </a:schemeClr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val>
            <c:numRef>
              <c:f>'RECAP AG'!$D$11:$D$15</c:f>
              <c:numCache>
                <c:formatCode>0</c:formatCode>
                <c:ptCount val="5"/>
                <c:pt idx="0">
                  <c:v>87500</c:v>
                </c:pt>
                <c:pt idx="1">
                  <c:v>69000</c:v>
                </c:pt>
                <c:pt idx="2">
                  <c:v>79000</c:v>
                </c:pt>
                <c:pt idx="3">
                  <c:v>126500</c:v>
                </c:pt>
                <c:pt idx="4">
                  <c:v>67200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20-4F57-B2C0-7FFC91B2B5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20"/>
        <c:axId val="1305530944"/>
        <c:axId val="1305534272"/>
      </c:barChart>
      <c:catAx>
        <c:axId val="13055309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305534272"/>
        <c:crosses val="autoZero"/>
        <c:auto val="1"/>
        <c:lblAlgn val="ctr"/>
        <c:lblOffset val="100"/>
        <c:noMultiLvlLbl val="0"/>
      </c:catAx>
      <c:valAx>
        <c:axId val="13055342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30553094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 sz="1800" b="1" u="sng"/>
              <a:t>DEPENSES</a:t>
            </a:r>
          </a:p>
        </c:rich>
      </c:tx>
      <c:layout>
        <c:manualLayout>
          <c:xMode val="edge"/>
          <c:yMode val="edge"/>
          <c:x val="0.47847702550773336"/>
          <c:y val="1.5903062278645859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269573589733445"/>
          <c:y val="0.14341495896522449"/>
          <c:w val="0.90682206626020123"/>
          <c:h val="0.6060517168383517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'RECAP AG'!$B$1:$B$2</c:f>
              <c:strCache>
                <c:ptCount val="2"/>
                <c:pt idx="0">
                  <c:v>Résultats</c:v>
                </c:pt>
                <c:pt idx="1">
                  <c:v>2024</c:v>
                </c:pt>
              </c:strCache>
            </c:strRef>
          </c:tx>
          <c:spPr>
            <a:solidFill>
              <a:schemeClr val="accent1">
                <a:lumMod val="20000"/>
                <a:lumOff val="80000"/>
              </a:schemeClr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'RECAP AG'!$A$8</c:f>
              <c:strCache>
                <c:ptCount val="1"/>
                <c:pt idx="0">
                  <c:v>Total Charges</c:v>
                </c:pt>
              </c:strCache>
              <c:extLst/>
            </c:strRef>
          </c:cat>
          <c:val>
            <c:numRef>
              <c:f>'RECAP AG'!$B$8</c:f>
              <c:numCache>
                <c:formatCode>0</c:formatCode>
                <c:ptCount val="1"/>
                <c:pt idx="0">
                  <c:v>395760.8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76-449F-86F2-BBB9BAF877E8}"/>
            </c:ext>
          </c:extLst>
        </c:ser>
        <c:ser>
          <c:idx val="3"/>
          <c:order val="1"/>
          <c:tx>
            <c:strRef>
              <c:f>récap!#REF!</c:f>
              <c:strCache>
                <c:ptCount val="1"/>
                <c:pt idx="0">
                  <c:v>#REF!</c:v>
                </c:pt>
              </c:strCache>
              <c:extLst xmlns:c15="http://schemas.microsoft.com/office/drawing/2012/chart"/>
            </c:strRef>
          </c:tx>
          <c:spPr>
            <a:solidFill>
              <a:schemeClr val="tx2">
                <a:lumMod val="40000"/>
                <a:lumOff val="60000"/>
              </a:schemeClr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'RECAP AG'!$A$8</c:f>
              <c:strCache>
                <c:ptCount val="1"/>
                <c:pt idx="0">
                  <c:v>Total Charges</c:v>
                </c:pt>
              </c:strCache>
              <c:extLst xmlns:c15="http://schemas.microsoft.com/office/drawing/2012/chart"/>
            </c:strRef>
          </c:cat>
          <c:val>
            <c:numRef>
              <c:f>récap!#REF!</c:f>
              <c:extLst xmlns:c15="http://schemas.microsoft.com/office/drawing/2012/chart"/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2-4F76-449F-86F2-BBB9BAF877E8}"/>
            </c:ext>
          </c:extLst>
        </c:ser>
        <c:ser>
          <c:idx val="0"/>
          <c:order val="2"/>
          <c:tx>
            <c:strRef>
              <c:f>'RECAP AG'!$C$1:$C$2</c:f>
              <c:strCache>
                <c:ptCount val="2"/>
                <c:pt idx="0">
                  <c:v>Résultats</c:v>
                </c:pt>
                <c:pt idx="1">
                  <c:v>2025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ysClr val="windowText" lastClr="000000"/>
              </a:solidFill>
            </a:ln>
          </c:spPr>
          <c:invertIfNegative val="0"/>
          <c:val>
            <c:numRef>
              <c:f>'RECAP AG'!$C$8</c:f>
              <c:numCache>
                <c:formatCode>0</c:formatCode>
                <c:ptCount val="1"/>
                <c:pt idx="0">
                  <c:v>423199.54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CA-420C-84AC-857D0312098E}"/>
            </c:ext>
          </c:extLst>
        </c:ser>
        <c:ser>
          <c:idx val="2"/>
          <c:order val="3"/>
          <c:tx>
            <c:strRef>
              <c:f>'RECAP AG'!$D$1:$D$2</c:f>
              <c:strCache>
                <c:ptCount val="2"/>
                <c:pt idx="0">
                  <c:v>Prév.</c:v>
                </c:pt>
                <c:pt idx="1">
                  <c:v>2026</c:v>
                </c:pt>
              </c:strCache>
            </c:strRef>
          </c:tx>
          <c:spPr>
            <a:solidFill>
              <a:schemeClr val="accent1">
                <a:lumMod val="20000"/>
                <a:lumOff val="80000"/>
              </a:schemeClr>
            </a:solidFill>
            <a:ln>
              <a:solidFill>
                <a:sysClr val="windowText" lastClr="000000"/>
              </a:solidFill>
            </a:ln>
          </c:spPr>
          <c:invertIfNegative val="0"/>
          <c:val>
            <c:numRef>
              <c:f>'RECAP AG'!$D$8</c:f>
              <c:numCache>
                <c:formatCode>0</c:formatCode>
                <c:ptCount val="1"/>
                <c:pt idx="0">
                  <c:v>429200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E0-45DC-8B79-715511218D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20"/>
        <c:axId val="1131800240"/>
        <c:axId val="1131795248"/>
        <c:extLst/>
      </c:barChart>
      <c:catAx>
        <c:axId val="1131800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131795248"/>
        <c:crosses val="autoZero"/>
        <c:auto val="1"/>
        <c:lblAlgn val="ctr"/>
        <c:lblOffset val="100"/>
        <c:noMultiLvlLbl val="0"/>
      </c:catAx>
      <c:valAx>
        <c:axId val="1131795248"/>
        <c:scaling>
          <c:orientation val="minMax"/>
        </c:scaling>
        <c:delete val="0"/>
        <c:axPos val="l"/>
        <c:majorGridlines/>
        <c:numFmt formatCode="0" sourceLinked="1"/>
        <c:majorTickMark val="none"/>
        <c:minorTickMark val="none"/>
        <c:tickLblPos val="nextTo"/>
        <c:crossAx val="1131800240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1800" b="1" u="sng"/>
              <a:t>RECETTES</a:t>
            </a:r>
          </a:p>
        </c:rich>
      </c:tx>
      <c:layout>
        <c:manualLayout>
          <c:xMode val="edge"/>
          <c:yMode val="edge"/>
          <c:x val="0.45238108993613335"/>
          <c:y val="2.01383640715747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34874490518036788"/>
          <c:y val="0.15504972160742178"/>
          <c:w val="0.6011982119982443"/>
          <c:h val="0.66225603601362204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'RECAP AG'!$B$9:$B$10</c:f>
              <c:strCache>
                <c:ptCount val="2"/>
                <c:pt idx="0">
                  <c:v>Résutats</c:v>
                </c:pt>
                <c:pt idx="1">
                  <c:v>2024</c:v>
                </c:pt>
              </c:strCache>
            </c:strRef>
          </c:tx>
          <c:spPr>
            <a:solidFill>
              <a:schemeClr val="accent6">
                <a:lumMod val="20000"/>
                <a:lumOff val="80000"/>
              </a:schemeClr>
            </a:solidFill>
            <a:ln>
              <a:solidFill>
                <a:schemeClr val="bg1">
                  <a:lumMod val="75000"/>
                </a:schemeClr>
              </a:solidFill>
            </a:ln>
            <a:effectLst/>
          </c:spPr>
          <c:invertIfNegative val="0"/>
          <c:cat>
            <c:strRef>
              <c:f>[1]récap!$A$19</c:f>
              <c:strCache>
                <c:ptCount val="1"/>
                <c:pt idx="0">
                  <c:v>Total Produits</c:v>
                </c:pt>
              </c:strCache>
            </c:strRef>
          </c:cat>
          <c:val>
            <c:numRef>
              <c:f>'RECAP AG'!$B$16</c:f>
              <c:numCache>
                <c:formatCode>0</c:formatCode>
                <c:ptCount val="1"/>
                <c:pt idx="0">
                  <c:v>393883.7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4E-49CD-AAEF-F73BF158054D}"/>
            </c:ext>
          </c:extLst>
        </c:ser>
        <c:ser>
          <c:idx val="2"/>
          <c:order val="1"/>
          <c:tx>
            <c:strRef>
              <c:f>'RECAP AG'!$C$9:$C$10</c:f>
              <c:strCache>
                <c:ptCount val="2"/>
                <c:pt idx="0">
                  <c:v>Résutats</c:v>
                </c:pt>
                <c:pt idx="1">
                  <c:v>2025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f>[1]récap!$A$19</c:f>
              <c:strCache>
                <c:ptCount val="1"/>
                <c:pt idx="0">
                  <c:v>Total Produits</c:v>
                </c:pt>
              </c:strCache>
            </c:strRef>
          </c:cat>
          <c:val>
            <c:numRef>
              <c:f>'RECAP AG'!$C$16</c:f>
              <c:numCache>
                <c:formatCode>0</c:formatCode>
                <c:ptCount val="1"/>
                <c:pt idx="0">
                  <c:v>428964.67000000004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B4E-49CD-AAEF-F73BF158054D}"/>
            </c:ext>
          </c:extLst>
        </c:ser>
        <c:ser>
          <c:idx val="3"/>
          <c:order val="2"/>
          <c:tx>
            <c:strRef>
              <c:f>'RECAP AG'!$D$9:$D$10</c:f>
              <c:strCache>
                <c:ptCount val="2"/>
                <c:pt idx="0">
                  <c:v>Prév.</c:v>
                </c:pt>
                <c:pt idx="1">
                  <c:v>2026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f>[1]récap!$A$19</c:f>
              <c:strCache>
                <c:ptCount val="1"/>
                <c:pt idx="0">
                  <c:v>Total Produits</c:v>
                </c:pt>
              </c:strCache>
            </c:strRef>
          </c:cat>
          <c:val>
            <c:numRef>
              <c:f>'RECAP AG'!$D$16</c:f>
              <c:numCache>
                <c:formatCode>0</c:formatCode>
                <c:ptCount val="1"/>
                <c:pt idx="0">
                  <c:v>429200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B4E-49CD-AAEF-F73BF15805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20"/>
        <c:axId val="1305530944"/>
        <c:axId val="1305534272"/>
      </c:barChart>
      <c:catAx>
        <c:axId val="13055309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305534272"/>
        <c:crosses val="autoZero"/>
        <c:auto val="1"/>
        <c:lblAlgn val="ctr"/>
        <c:lblOffset val="100"/>
        <c:noMultiLvlLbl val="0"/>
      </c:catAx>
      <c:valAx>
        <c:axId val="13055342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30553094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2501347</xdr:colOff>
      <xdr:row>110</xdr:row>
      <xdr:rowOff>0</xdr:rowOff>
    </xdr:from>
    <xdr:ext cx="1034" cy="115522"/>
    <xdr:sp macro="" textlink="">
      <xdr:nvSpPr>
        <xdr:cNvPr id="2" name="Shape 89">
          <a:extLst>
            <a:ext uri="{FF2B5EF4-FFF2-40B4-BE49-F238E27FC236}">
              <a16:creationId xmlns:a16="http://schemas.microsoft.com/office/drawing/2014/main" id="{7E52008E-DC85-4018-82E7-3A82CEA06B40}"/>
            </a:ext>
          </a:extLst>
        </xdr:cNvPr>
        <xdr:cNvSpPr/>
      </xdr:nvSpPr>
      <xdr:spPr>
        <a:xfrm>
          <a:off x="2691847" y="22640925"/>
          <a:ext cx="1034" cy="115522"/>
        </a:xfrm>
        <a:custGeom>
          <a:avLst/>
          <a:gdLst/>
          <a:ahLst/>
          <a:cxnLst/>
          <a:rect l="0" t="0" r="0" b="0"/>
          <a:pathLst>
            <a:path h="96520">
              <a:moveTo>
                <a:pt x="0" y="0"/>
              </a:moveTo>
              <a:lnTo>
                <a:pt x="0" y="96011"/>
              </a:lnTo>
            </a:path>
          </a:pathLst>
        </a:custGeom>
        <a:ln w="3175">
          <a:solidFill>
            <a:srgbClr val="000000"/>
          </a:solidFill>
        </a:ln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3381376</xdr:colOff>
      <xdr:row>19</xdr:row>
      <xdr:rowOff>0</xdr:rowOff>
    </xdr:from>
    <xdr:to>
      <xdr:col>8</xdr:col>
      <xdr:colOff>600075</xdr:colOff>
      <xdr:row>39</xdr:row>
      <xdr:rowOff>76200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6BFC4484-5698-4577-9415-A324D63F1D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38100</xdr:colOff>
      <xdr:row>43</xdr:row>
      <xdr:rowOff>0</xdr:rowOff>
    </xdr:from>
    <xdr:to>
      <xdr:col>10</xdr:col>
      <xdr:colOff>38101</xdr:colOff>
      <xdr:row>63</xdr:row>
      <xdr:rowOff>85726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88D282F6-2D0C-4796-8738-A9D0194195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600075</xdr:colOff>
      <xdr:row>18</xdr:row>
      <xdr:rowOff>152398</xdr:rowOff>
    </xdr:from>
    <xdr:to>
      <xdr:col>11</xdr:col>
      <xdr:colOff>676275</xdr:colOff>
      <xdr:row>40</xdr:row>
      <xdr:rowOff>190500</xdr:rowOff>
    </xdr:to>
    <xdr:graphicFrame macro="">
      <xdr:nvGraphicFramePr>
        <xdr:cNvPr id="6" name="Graphique 5">
          <a:extLst>
            <a:ext uri="{FF2B5EF4-FFF2-40B4-BE49-F238E27FC236}">
              <a16:creationId xmlns:a16="http://schemas.microsoft.com/office/drawing/2014/main" id="{A35DB164-DA6C-4FB2-A943-CD4D91DD66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333374</xdr:colOff>
      <xdr:row>42</xdr:row>
      <xdr:rowOff>228598</xdr:rowOff>
    </xdr:from>
    <xdr:to>
      <xdr:col>13</xdr:col>
      <xdr:colOff>523875</xdr:colOff>
      <xdr:row>63</xdr:row>
      <xdr:rowOff>85725</xdr:rowOff>
    </xdr:to>
    <xdr:graphicFrame macro="">
      <xdr:nvGraphicFramePr>
        <xdr:cNvPr id="7" name="Graphique 6">
          <a:extLst>
            <a:ext uri="{FF2B5EF4-FFF2-40B4-BE49-F238E27FC236}">
              <a16:creationId xmlns:a16="http://schemas.microsoft.com/office/drawing/2014/main" id="{252B4FB8-02F5-4C64-A900-794E188395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Downloads/BUDGET%20CSBJ%20ATHLETISME%20Original%202025.xlsx" TargetMode="External"/><Relationship Id="rId2" Type="http://schemas.openxmlformats.org/officeDocument/2006/relationships/externalLinkPath" Target="file:///C:\Users\csbja\Downloads\BUDGET%20CSBJ%20ATHLETISME%20Original%202025.xlsx" TargetMode="External"/><Relationship Id="rId1" Type="http://schemas.openxmlformats.org/officeDocument/2006/relationships/externalLinkPath" Target="/Users/csbja/Downloads/BUDGET%20CSBJ%20ATHLETISME%20Original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Budget CSBJ"/>
      <sheetName val="Budget Prév 2028"/>
      <sheetName val="Trésorerie 2025"/>
      <sheetName val="Simulation Cotisation 2025"/>
      <sheetName val="Tableau Cotisation 2025-2026"/>
      <sheetName val="Entretien MSSPI "/>
      <sheetName val="Reporting"/>
      <sheetName val="récap"/>
      <sheetName val="EFFECTIF"/>
      <sheetName val="masse sal"/>
      <sheetName val="CNOS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9">
          <cell r="A19" t="str">
            <v>Total Produits</v>
          </cell>
        </row>
      </sheetData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139E2A-A70C-446B-854B-7796279BC712}">
  <sheetPr>
    <pageSetUpPr fitToPage="1"/>
  </sheetPr>
  <dimension ref="A1:BE139"/>
  <sheetViews>
    <sheetView zoomScale="130" zoomScaleNormal="130" workbookViewId="0">
      <pane xSplit="2" ySplit="4" topLeftCell="AM113" activePane="bottomRight" state="frozen"/>
      <selection pane="topRight" activeCell="C1" sqref="C1"/>
      <selection pane="bottomLeft" activeCell="A5" sqref="A5"/>
      <selection pane="bottomRight" activeCell="AY77" sqref="AY77"/>
    </sheetView>
  </sheetViews>
  <sheetFormatPr baseColWidth="10" defaultColWidth="9.33203125" defaultRowHeight="15.75" x14ac:dyDescent="0.2"/>
  <cols>
    <col min="1" max="1" width="4.1640625" style="701" bestFit="1" customWidth="1"/>
    <col min="2" max="2" width="42.83203125" style="245" customWidth="1"/>
    <col min="3" max="11" width="11.5" style="702" hidden="1" customWidth="1"/>
    <col min="12" max="12" width="11.33203125" style="702" hidden="1" customWidth="1"/>
    <col min="13" max="13" width="11.5" style="702" hidden="1" customWidth="1"/>
    <col min="14" max="17" width="11.5" style="568" hidden="1" customWidth="1"/>
    <col min="18" max="20" width="11.5" style="245" hidden="1" customWidth="1"/>
    <col min="21" max="21" width="11.5" style="568" hidden="1" customWidth="1"/>
    <col min="22" max="24" width="11.5" style="245" hidden="1" customWidth="1"/>
    <col min="25" max="25" width="11.5" style="568" hidden="1" customWidth="1"/>
    <col min="26" max="26" width="11.5" style="245" hidden="1" customWidth="1"/>
    <col min="27" max="27" width="13.5" style="245" hidden="1" customWidth="1"/>
    <col min="28" max="28" width="13.5" style="704" hidden="1" customWidth="1"/>
    <col min="29" max="30" width="15.1640625" style="245" hidden="1" customWidth="1"/>
    <col min="31" max="32" width="11.5" style="245" bestFit="1" customWidth="1"/>
    <col min="33" max="34" width="11.5" style="245" hidden="1" customWidth="1"/>
    <col min="35" max="36" width="13.5" style="245" hidden="1" customWidth="1"/>
    <col min="37" max="38" width="15.1640625" style="245" hidden="1" customWidth="1"/>
    <col min="39" max="39" width="11.5" style="245" bestFit="1" customWidth="1"/>
    <col min="40" max="40" width="11.5" style="245" customWidth="1"/>
    <col min="41" max="42" width="11.5" style="245" hidden="1" customWidth="1"/>
    <col min="43" max="44" width="13.6640625" style="245" hidden="1" customWidth="1"/>
    <col min="45" max="46" width="0.1640625" style="245" hidden="1" customWidth="1"/>
    <col min="47" max="47" width="11.5" style="245" bestFit="1" customWidth="1"/>
    <col min="48" max="48" width="13.1640625" style="245" bestFit="1" customWidth="1"/>
    <col min="49" max="50" width="11.6640625" style="245" bestFit="1" customWidth="1"/>
    <col min="51" max="52" width="13.5" style="245" bestFit="1" customWidth="1"/>
    <col min="53" max="54" width="15.1640625" style="245" bestFit="1" customWidth="1"/>
    <col min="55" max="55" width="68.5" style="245" bestFit="1" customWidth="1"/>
    <col min="56" max="56" width="17.1640625" style="245" customWidth="1"/>
    <col min="57" max="57" width="20.33203125" style="245" customWidth="1"/>
    <col min="58" max="16384" width="9.33203125" style="245"/>
  </cols>
  <sheetData>
    <row r="1" spans="1:55" ht="34.5" customHeight="1" thickBot="1" x14ac:dyDescent="0.25">
      <c r="A1" s="739" t="s">
        <v>17</v>
      </c>
      <c r="B1" s="740"/>
      <c r="C1" s="740"/>
      <c r="D1" s="740"/>
      <c r="E1" s="740"/>
      <c r="F1" s="740"/>
      <c r="G1" s="740"/>
      <c r="H1" s="740"/>
      <c r="I1" s="740"/>
      <c r="J1" s="740"/>
      <c r="K1" s="740"/>
      <c r="L1" s="740"/>
      <c r="M1" s="740"/>
      <c r="N1" s="740"/>
      <c r="O1" s="740"/>
      <c r="P1" s="740"/>
      <c r="Q1" s="740"/>
      <c r="R1" s="740"/>
      <c r="S1" s="740"/>
      <c r="T1" s="740"/>
      <c r="U1" s="740"/>
      <c r="V1" s="740"/>
      <c r="W1" s="740"/>
      <c r="X1" s="740"/>
      <c r="Y1" s="740"/>
      <c r="Z1" s="740"/>
      <c r="AA1" s="740"/>
      <c r="AB1" s="740"/>
      <c r="AC1" s="740"/>
      <c r="AD1" s="740"/>
      <c r="AE1" s="740"/>
      <c r="AF1" s="740"/>
      <c r="AG1" s="740"/>
      <c r="AH1" s="740"/>
      <c r="AI1" s="740"/>
      <c r="AJ1" s="740"/>
      <c r="AK1" s="740"/>
      <c r="AL1" s="740"/>
      <c r="AM1" s="740"/>
      <c r="AN1" s="740"/>
      <c r="AO1" s="740"/>
      <c r="AP1" s="740"/>
      <c r="AQ1" s="740"/>
      <c r="AR1" s="740"/>
      <c r="AS1" s="740"/>
      <c r="AT1" s="740"/>
      <c r="AU1" s="740"/>
      <c r="AV1" s="740"/>
      <c r="AW1" s="740"/>
      <c r="AX1" s="740"/>
      <c r="AY1" s="740"/>
      <c r="AZ1" s="740"/>
      <c r="BA1" s="740"/>
      <c r="BB1" s="740"/>
    </row>
    <row r="2" spans="1:55" ht="16.5" customHeight="1" x14ac:dyDescent="0.2">
      <c r="A2" s="246"/>
      <c r="B2" s="741" t="s">
        <v>0</v>
      </c>
      <c r="C2" s="247" t="s">
        <v>1</v>
      </c>
      <c r="D2" s="248" t="s">
        <v>1</v>
      </c>
      <c r="E2" s="249" t="s">
        <v>2</v>
      </c>
      <c r="F2" s="247" t="s">
        <v>5</v>
      </c>
      <c r="G2" s="248" t="s">
        <v>1</v>
      </c>
      <c r="H2" s="250" t="s">
        <v>2</v>
      </c>
      <c r="I2" s="251" t="s">
        <v>5</v>
      </c>
      <c r="J2" s="248" t="s">
        <v>5</v>
      </c>
      <c r="K2" s="248" t="s">
        <v>1</v>
      </c>
      <c r="L2" s="250" t="s">
        <v>2</v>
      </c>
      <c r="M2" s="247" t="s">
        <v>5</v>
      </c>
      <c r="N2" s="248" t="s">
        <v>5</v>
      </c>
      <c r="O2" s="248" t="s">
        <v>1</v>
      </c>
      <c r="P2" s="250" t="s">
        <v>2</v>
      </c>
      <c r="Q2" s="247" t="s">
        <v>5</v>
      </c>
      <c r="R2" s="249" t="s">
        <v>5</v>
      </c>
      <c r="S2" s="247" t="s">
        <v>1</v>
      </c>
      <c r="T2" s="250" t="s">
        <v>2</v>
      </c>
      <c r="U2" s="251" t="s">
        <v>5</v>
      </c>
      <c r="V2" s="248" t="s">
        <v>5</v>
      </c>
      <c r="W2" s="251" t="s">
        <v>1</v>
      </c>
      <c r="X2" s="250" t="s">
        <v>2</v>
      </c>
      <c r="Y2" s="247" t="s">
        <v>5</v>
      </c>
      <c r="Z2" s="248" t="s">
        <v>5</v>
      </c>
      <c r="AA2" s="248" t="s">
        <v>105</v>
      </c>
      <c r="AB2" s="251" t="s">
        <v>105</v>
      </c>
      <c r="AC2" s="248" t="s">
        <v>106</v>
      </c>
      <c r="AD2" s="251" t="s">
        <v>106</v>
      </c>
      <c r="AE2" s="251" t="s">
        <v>1</v>
      </c>
      <c r="AF2" s="249" t="s">
        <v>2</v>
      </c>
      <c r="AG2" s="247" t="s">
        <v>5</v>
      </c>
      <c r="AH2" s="248" t="s">
        <v>5</v>
      </c>
      <c r="AI2" s="248" t="s">
        <v>105</v>
      </c>
      <c r="AJ2" s="249" t="s">
        <v>105</v>
      </c>
      <c r="AK2" s="247" t="s">
        <v>106</v>
      </c>
      <c r="AL2" s="250" t="s">
        <v>106</v>
      </c>
      <c r="AM2" s="251" t="s">
        <v>1</v>
      </c>
      <c r="AN2" s="249" t="s">
        <v>2</v>
      </c>
      <c r="AO2" s="247" t="s">
        <v>5</v>
      </c>
      <c r="AP2" s="248" t="s">
        <v>5</v>
      </c>
      <c r="AQ2" s="248" t="s">
        <v>105</v>
      </c>
      <c r="AR2" s="249" t="s">
        <v>105</v>
      </c>
      <c r="AS2" s="247" t="s">
        <v>106</v>
      </c>
      <c r="AT2" s="250" t="s">
        <v>106</v>
      </c>
      <c r="AU2" s="251" t="s">
        <v>1</v>
      </c>
      <c r="AV2" s="249" t="s">
        <v>2</v>
      </c>
      <c r="AW2" s="247" t="s">
        <v>5</v>
      </c>
      <c r="AX2" s="248" t="s">
        <v>5</v>
      </c>
      <c r="AY2" s="248" t="s">
        <v>105</v>
      </c>
      <c r="AZ2" s="249" t="s">
        <v>105</v>
      </c>
      <c r="BA2" s="247" t="s">
        <v>106</v>
      </c>
      <c r="BB2" s="250" t="s">
        <v>106</v>
      </c>
    </row>
    <row r="3" spans="1:55" ht="16.5" customHeight="1" thickBot="1" x14ac:dyDescent="0.25">
      <c r="A3" s="252"/>
      <c r="B3" s="742"/>
      <c r="C3" s="253">
        <v>2016</v>
      </c>
      <c r="D3" s="254">
        <v>2017</v>
      </c>
      <c r="E3" s="255">
        <v>2017</v>
      </c>
      <c r="F3" s="253">
        <v>2018</v>
      </c>
      <c r="G3" s="254">
        <v>2018</v>
      </c>
      <c r="H3" s="256">
        <v>2018</v>
      </c>
      <c r="I3" s="257">
        <v>2019</v>
      </c>
      <c r="J3" s="258">
        <v>2019</v>
      </c>
      <c r="K3" s="258">
        <v>2019</v>
      </c>
      <c r="L3" s="259">
        <v>2019</v>
      </c>
      <c r="M3" s="260">
        <v>2020</v>
      </c>
      <c r="N3" s="258">
        <v>2020</v>
      </c>
      <c r="O3" s="258">
        <v>2020</v>
      </c>
      <c r="P3" s="259">
        <v>2020</v>
      </c>
      <c r="Q3" s="260">
        <v>2021</v>
      </c>
      <c r="R3" s="261">
        <v>2021</v>
      </c>
      <c r="S3" s="260">
        <v>2021</v>
      </c>
      <c r="T3" s="259">
        <v>2021</v>
      </c>
      <c r="U3" s="262">
        <v>2022</v>
      </c>
      <c r="V3" s="258">
        <v>2022</v>
      </c>
      <c r="W3" s="262">
        <v>2022</v>
      </c>
      <c r="X3" s="259">
        <v>2022</v>
      </c>
      <c r="Y3" s="260">
        <v>2023</v>
      </c>
      <c r="Z3" s="258">
        <v>2023</v>
      </c>
      <c r="AA3" s="258">
        <v>2023</v>
      </c>
      <c r="AB3" s="262">
        <v>2023</v>
      </c>
      <c r="AC3" s="258">
        <v>2023</v>
      </c>
      <c r="AD3" s="262">
        <v>2023</v>
      </c>
      <c r="AE3" s="262">
        <v>2023</v>
      </c>
      <c r="AF3" s="261">
        <v>2023</v>
      </c>
      <c r="AG3" s="260">
        <v>2024</v>
      </c>
      <c r="AH3" s="258">
        <v>2024</v>
      </c>
      <c r="AI3" s="258">
        <v>2024</v>
      </c>
      <c r="AJ3" s="261">
        <v>2024</v>
      </c>
      <c r="AK3" s="260">
        <v>2024</v>
      </c>
      <c r="AL3" s="259">
        <v>2024</v>
      </c>
      <c r="AM3" s="262">
        <v>2024</v>
      </c>
      <c r="AN3" s="261">
        <v>2024</v>
      </c>
      <c r="AO3" s="260">
        <v>2025</v>
      </c>
      <c r="AP3" s="258">
        <v>2025</v>
      </c>
      <c r="AQ3" s="258">
        <v>2025</v>
      </c>
      <c r="AR3" s="261">
        <v>2025</v>
      </c>
      <c r="AS3" s="260">
        <v>2025</v>
      </c>
      <c r="AT3" s="259">
        <v>2025</v>
      </c>
      <c r="AU3" s="262">
        <v>2025</v>
      </c>
      <c r="AV3" s="261">
        <v>2025</v>
      </c>
      <c r="AW3" s="260">
        <v>2026</v>
      </c>
      <c r="AX3" s="258">
        <v>2026</v>
      </c>
      <c r="AY3" s="258">
        <v>2026</v>
      </c>
      <c r="AZ3" s="261">
        <v>2026</v>
      </c>
      <c r="BA3" s="260">
        <v>2026</v>
      </c>
      <c r="BB3" s="259">
        <v>2026</v>
      </c>
    </row>
    <row r="4" spans="1:55" s="271" customFormat="1" ht="16.5" customHeight="1" x14ac:dyDescent="0.2">
      <c r="A4" s="263">
        <v>60</v>
      </c>
      <c r="B4" s="264" t="s">
        <v>3</v>
      </c>
      <c r="C4" s="265"/>
      <c r="D4" s="266"/>
      <c r="E4" s="267"/>
      <c r="F4" s="265"/>
      <c r="G4" s="266"/>
      <c r="H4" s="268"/>
      <c r="I4" s="269"/>
      <c r="J4" s="266"/>
      <c r="K4" s="266"/>
      <c r="L4" s="268"/>
      <c r="M4" s="265"/>
      <c r="N4" s="266"/>
      <c r="O4" s="269"/>
      <c r="P4" s="268"/>
      <c r="Q4" s="265"/>
      <c r="R4" s="267"/>
      <c r="S4" s="265"/>
      <c r="T4" s="268"/>
      <c r="U4" s="269"/>
      <c r="V4" s="266"/>
      <c r="W4" s="269"/>
      <c r="X4" s="268"/>
      <c r="Y4" s="265"/>
      <c r="Z4" s="266"/>
      <c r="AA4" s="266"/>
      <c r="AB4" s="266"/>
      <c r="AC4" s="269"/>
      <c r="AD4" s="267"/>
      <c r="AE4" s="270"/>
      <c r="AF4" s="268"/>
      <c r="AG4" s="269"/>
      <c r="AH4" s="266"/>
      <c r="AI4" s="266"/>
      <c r="AJ4" s="267"/>
      <c r="AK4" s="265"/>
      <c r="AL4" s="268"/>
      <c r="AM4" s="270"/>
      <c r="AN4" s="268"/>
      <c r="AO4" s="269"/>
      <c r="AP4" s="266"/>
      <c r="AQ4" s="266"/>
      <c r="AR4" s="267"/>
      <c r="AS4" s="265"/>
      <c r="AT4" s="268"/>
      <c r="AU4" s="270"/>
      <c r="AV4" s="268"/>
      <c r="AW4" s="269"/>
      <c r="AX4" s="266"/>
      <c r="AY4" s="266"/>
      <c r="AZ4" s="267"/>
      <c r="BA4" s="265"/>
      <c r="BB4" s="268"/>
    </row>
    <row r="5" spans="1:55" s="271" customFormat="1" x14ac:dyDescent="0.2">
      <c r="A5" s="272"/>
      <c r="B5" s="273" t="s">
        <v>107</v>
      </c>
      <c r="C5" s="274">
        <v>6037.01</v>
      </c>
      <c r="D5" s="275">
        <v>4714.57</v>
      </c>
      <c r="E5" s="276"/>
      <c r="F5" s="277">
        <v>4500</v>
      </c>
      <c r="G5" s="278">
        <v>9674.9599999999991</v>
      </c>
      <c r="H5" s="279"/>
      <c r="I5" s="280">
        <v>6500</v>
      </c>
      <c r="J5" s="281"/>
      <c r="K5" s="282">
        <v>10173.870000000001</v>
      </c>
      <c r="L5" s="283"/>
      <c r="M5" s="284">
        <v>9000</v>
      </c>
      <c r="N5" s="282"/>
      <c r="O5" s="285">
        <v>7671.33</v>
      </c>
      <c r="P5" s="283"/>
      <c r="Q5" s="284">
        <v>9000</v>
      </c>
      <c r="R5" s="286"/>
      <c r="S5" s="284">
        <v>13533</v>
      </c>
      <c r="T5" s="283"/>
      <c r="U5" s="285">
        <v>9000</v>
      </c>
      <c r="V5" s="282"/>
      <c r="W5" s="287">
        <v>15831.11</v>
      </c>
      <c r="X5" s="288"/>
      <c r="Y5" s="284">
        <v>16000</v>
      </c>
      <c r="Z5" s="282"/>
      <c r="AA5" s="282"/>
      <c r="AB5" s="282"/>
      <c r="AC5" s="285">
        <f>Y5+AA5</f>
        <v>16000</v>
      </c>
      <c r="AD5" s="286"/>
      <c r="AE5" s="289">
        <v>17216.8</v>
      </c>
      <c r="AF5" s="290"/>
      <c r="AG5" s="285">
        <v>14200</v>
      </c>
      <c r="AH5" s="282"/>
      <c r="AI5" s="282">
        <v>800</v>
      </c>
      <c r="AJ5" s="286"/>
      <c r="AK5" s="284">
        <f>AG5+AI5</f>
        <v>15000</v>
      </c>
      <c r="AL5" s="283"/>
      <c r="AM5" s="289">
        <f>15245.09</f>
        <v>15245.09</v>
      </c>
      <c r="AN5" s="290"/>
      <c r="AO5" s="285">
        <v>14200</v>
      </c>
      <c r="AP5" s="282"/>
      <c r="AQ5" s="282">
        <v>800</v>
      </c>
      <c r="AR5" s="286"/>
      <c r="AS5" s="284">
        <f>SUM(AO5:AR5)</f>
        <v>15000</v>
      </c>
      <c r="AT5" s="283"/>
      <c r="AU5" s="730">
        <f>10478.18+109.14+293.21</f>
        <v>10880.529999999999</v>
      </c>
      <c r="AV5" s="290"/>
      <c r="AW5" s="285">
        <v>13500</v>
      </c>
      <c r="AX5" s="282"/>
      <c r="AY5" s="282">
        <v>1500</v>
      </c>
      <c r="AZ5" s="286"/>
      <c r="BA5" s="284">
        <f>SUM(AW5:AZ5)</f>
        <v>15000</v>
      </c>
      <c r="BB5" s="283"/>
    </row>
    <row r="6" spans="1:55" s="271" customFormat="1" x14ac:dyDescent="0.2">
      <c r="A6" s="272"/>
      <c r="B6" s="273" t="s">
        <v>108</v>
      </c>
      <c r="C6" s="274">
        <v>3230.94</v>
      </c>
      <c r="D6" s="275">
        <v>3817.67</v>
      </c>
      <c r="E6" s="276"/>
      <c r="F6" s="277">
        <v>3000</v>
      </c>
      <c r="G6" s="278">
        <v>4106.92</v>
      </c>
      <c r="H6" s="279"/>
      <c r="I6" s="280">
        <v>3000</v>
      </c>
      <c r="J6" s="281"/>
      <c r="K6" s="282">
        <f>794.13+4807.75</f>
        <v>5601.88</v>
      </c>
      <c r="L6" s="283"/>
      <c r="M6" s="284">
        <v>5500</v>
      </c>
      <c r="N6" s="282"/>
      <c r="O6" s="285">
        <f>122+198.66</f>
        <v>320.65999999999997</v>
      </c>
      <c r="P6" s="283"/>
      <c r="Q6" s="284">
        <v>3000</v>
      </c>
      <c r="R6" s="286"/>
      <c r="S6" s="284">
        <v>0</v>
      </c>
      <c r="T6" s="283"/>
      <c r="U6" s="285">
        <v>3000</v>
      </c>
      <c r="V6" s="282"/>
      <c r="W6" s="287">
        <v>2180.42</v>
      </c>
      <c r="X6" s="288"/>
      <c r="Y6" s="284">
        <v>2000</v>
      </c>
      <c r="Z6" s="282"/>
      <c r="AA6" s="282">
        <v>2200</v>
      </c>
      <c r="AB6" s="282"/>
      <c r="AC6" s="285">
        <f>Y6+AA6</f>
        <v>4200</v>
      </c>
      <c r="AD6" s="286"/>
      <c r="AE6" s="289">
        <v>2354.54</v>
      </c>
      <c r="AF6" s="290"/>
      <c r="AG6" s="285">
        <v>2000</v>
      </c>
      <c r="AH6" s="282"/>
      <c r="AI6" s="282"/>
      <c r="AJ6" s="286"/>
      <c r="AK6" s="284">
        <f>AG6+AI6</f>
        <v>2000</v>
      </c>
      <c r="AL6" s="283"/>
      <c r="AM6" s="289">
        <v>1663.05</v>
      </c>
      <c r="AN6" s="290"/>
      <c r="AO6" s="285">
        <v>2000</v>
      </c>
      <c r="AP6" s="282"/>
      <c r="AQ6" s="282"/>
      <c r="AR6" s="286"/>
      <c r="AS6" s="284">
        <f>SUM(AO6:AR6)</f>
        <v>2000</v>
      </c>
      <c r="AT6" s="283"/>
      <c r="AU6" s="289">
        <v>6314.68</v>
      </c>
      <c r="AV6" s="290"/>
      <c r="AW6" s="285">
        <v>6000</v>
      </c>
      <c r="AX6" s="282"/>
      <c r="AY6" s="282"/>
      <c r="AZ6" s="286"/>
      <c r="BA6" s="284">
        <f>SUM(AW6:AZ6)</f>
        <v>6000</v>
      </c>
      <c r="BB6" s="283"/>
    </row>
    <row r="7" spans="1:55" s="271" customFormat="1" x14ac:dyDescent="0.2">
      <c r="A7" s="272"/>
      <c r="B7" s="273" t="s">
        <v>109</v>
      </c>
      <c r="C7" s="274">
        <v>8192</v>
      </c>
      <c r="D7" s="275">
        <v>10056.33</v>
      </c>
      <c r="E7" s="276"/>
      <c r="F7" s="277">
        <v>5000</v>
      </c>
      <c r="G7" s="278">
        <v>481</v>
      </c>
      <c r="H7" s="279"/>
      <c r="I7" s="280">
        <v>1000</v>
      </c>
      <c r="J7" s="281"/>
      <c r="K7" s="282">
        <f>16030.49-6719</f>
        <v>9311.49</v>
      </c>
      <c r="L7" s="283"/>
      <c r="M7" s="284">
        <v>5000</v>
      </c>
      <c r="N7" s="282"/>
      <c r="O7" s="285">
        <f>13200.7-8270.4</f>
        <v>4930.3000000000011</v>
      </c>
      <c r="P7" s="283"/>
      <c r="Q7" s="284">
        <v>5000</v>
      </c>
      <c r="R7" s="286"/>
      <c r="S7" s="284">
        <v>5078</v>
      </c>
      <c r="T7" s="283"/>
      <c r="U7" s="285">
        <v>5000</v>
      </c>
      <c r="V7" s="282"/>
      <c r="W7" s="287">
        <v>1321.63</v>
      </c>
      <c r="X7" s="288"/>
      <c r="Y7" s="284">
        <v>2500</v>
      </c>
      <c r="Z7" s="282"/>
      <c r="AA7" s="291"/>
      <c r="AB7" s="282"/>
      <c r="AC7" s="285">
        <f>Y7+AA7</f>
        <v>2500</v>
      </c>
      <c r="AD7" s="286"/>
      <c r="AE7" s="289">
        <v>8718.7199999999993</v>
      </c>
      <c r="AF7" s="290"/>
      <c r="AG7" s="285">
        <v>5000</v>
      </c>
      <c r="AH7" s="282"/>
      <c r="AI7" s="291"/>
      <c r="AJ7" s="286"/>
      <c r="AK7" s="284">
        <f>AG7+AI7</f>
        <v>5000</v>
      </c>
      <c r="AL7" s="283"/>
      <c r="AM7" s="289">
        <f>5335.85+1103.57</f>
        <v>6439.42</v>
      </c>
      <c r="AN7" s="290"/>
      <c r="AO7" s="292">
        <v>9000</v>
      </c>
      <c r="AP7" s="282"/>
      <c r="AQ7" s="291"/>
      <c r="AR7" s="286"/>
      <c r="AS7" s="284">
        <f>SUM(AO7:AR7)</f>
        <v>9000</v>
      </c>
      <c r="AT7" s="283"/>
      <c r="AU7" s="289">
        <f>9310.76-1182.32</f>
        <v>8128.4400000000005</v>
      </c>
      <c r="AV7" s="290"/>
      <c r="AW7" s="292">
        <v>6000</v>
      </c>
      <c r="AX7" s="282"/>
      <c r="AY7" s="291"/>
      <c r="AZ7" s="286"/>
      <c r="BA7" s="284">
        <f>SUM(AW7:AZ7)</f>
        <v>6000</v>
      </c>
      <c r="BB7" s="283"/>
    </row>
    <row r="8" spans="1:55" s="271" customFormat="1" x14ac:dyDescent="0.2">
      <c r="A8" s="272"/>
      <c r="B8" s="273" t="s">
        <v>110</v>
      </c>
      <c r="C8" s="293"/>
      <c r="D8" s="275">
        <v>320.58</v>
      </c>
      <c r="E8" s="276"/>
      <c r="F8" s="277">
        <v>300</v>
      </c>
      <c r="G8" s="278">
        <v>9213.0499999999993</v>
      </c>
      <c r="H8" s="279"/>
      <c r="I8" s="280">
        <v>9900</v>
      </c>
      <c r="J8" s="281"/>
      <c r="K8" s="282">
        <v>13298.76</v>
      </c>
      <c r="L8" s="283"/>
      <c r="M8" s="284">
        <v>14000</v>
      </c>
      <c r="N8" s="282"/>
      <c r="O8" s="285">
        <v>16053</v>
      </c>
      <c r="P8" s="283"/>
      <c r="Q8" s="284">
        <v>15000</v>
      </c>
      <c r="R8" s="286"/>
      <c r="S8" s="284">
        <v>10699</v>
      </c>
      <c r="T8" s="283"/>
      <c r="U8" s="285">
        <v>12000</v>
      </c>
      <c r="V8" s="282"/>
      <c r="W8" s="287">
        <v>8712.1200000000008</v>
      </c>
      <c r="X8" s="288"/>
      <c r="Y8" s="284">
        <v>10000</v>
      </c>
      <c r="Z8" s="282"/>
      <c r="AA8" s="282"/>
      <c r="AB8" s="282"/>
      <c r="AC8" s="285">
        <f>Y8+AA8</f>
        <v>10000</v>
      </c>
      <c r="AD8" s="286"/>
      <c r="AE8" s="289">
        <v>9262.25</v>
      </c>
      <c r="AF8" s="290"/>
      <c r="AG8" s="285">
        <v>10000</v>
      </c>
      <c r="AH8" s="282"/>
      <c r="AI8" s="282"/>
      <c r="AJ8" s="286"/>
      <c r="AK8" s="284">
        <f>AG8+AI8</f>
        <v>10000</v>
      </c>
      <c r="AL8" s="283"/>
      <c r="AM8" s="289">
        <v>12071.19</v>
      </c>
      <c r="AN8" s="290"/>
      <c r="AO8" s="292">
        <v>13000</v>
      </c>
      <c r="AP8" s="282"/>
      <c r="AQ8" s="282"/>
      <c r="AR8" s="286"/>
      <c r="AS8" s="284">
        <f>SUM(AO8:AR8)</f>
        <v>13000</v>
      </c>
      <c r="AT8" s="283"/>
      <c r="AU8" s="289">
        <v>10613.89</v>
      </c>
      <c r="AV8" s="290"/>
      <c r="AW8" s="292">
        <v>12000</v>
      </c>
      <c r="AX8" s="282"/>
      <c r="AY8" s="282"/>
      <c r="AZ8" s="286"/>
      <c r="BA8" s="284">
        <f>SUM(AW8:AZ8)</f>
        <v>12000</v>
      </c>
      <c r="BB8" s="283"/>
    </row>
    <row r="9" spans="1:55" s="271" customFormat="1" ht="16.5" thickBot="1" x14ac:dyDescent="0.25">
      <c r="A9" s="294"/>
      <c r="B9" s="295" t="s">
        <v>111</v>
      </c>
      <c r="C9" s="296">
        <v>465.82</v>
      </c>
      <c r="D9" s="297">
        <v>212.42</v>
      </c>
      <c r="E9" s="298"/>
      <c r="F9" s="299">
        <v>200</v>
      </c>
      <c r="G9" s="297">
        <v>519.77</v>
      </c>
      <c r="H9" s="300"/>
      <c r="I9" s="301">
        <v>600</v>
      </c>
      <c r="J9" s="297"/>
      <c r="K9" s="297">
        <v>725.8</v>
      </c>
      <c r="L9" s="300"/>
      <c r="M9" s="299">
        <v>1000</v>
      </c>
      <c r="N9" s="297"/>
      <c r="O9" s="301">
        <v>1663.9</v>
      </c>
      <c r="P9" s="300"/>
      <c r="Q9" s="299">
        <v>1500</v>
      </c>
      <c r="R9" s="302"/>
      <c r="S9" s="284">
        <v>0</v>
      </c>
      <c r="T9" s="300"/>
      <c r="U9" s="301">
        <v>0</v>
      </c>
      <c r="V9" s="297"/>
      <c r="W9" s="287">
        <f>966.2</f>
        <v>966.2</v>
      </c>
      <c r="X9" s="303"/>
      <c r="Y9" s="304">
        <v>1000</v>
      </c>
      <c r="Z9" s="305"/>
      <c r="AA9" s="305"/>
      <c r="AB9" s="305"/>
      <c r="AC9" s="306">
        <f>Y9+AA9</f>
        <v>1000</v>
      </c>
      <c r="AD9" s="307"/>
      <c r="AE9" s="308">
        <v>2073.11</v>
      </c>
      <c r="AF9" s="309"/>
      <c r="AG9" s="310">
        <v>2000</v>
      </c>
      <c r="AH9" s="305"/>
      <c r="AI9" s="305"/>
      <c r="AJ9" s="307"/>
      <c r="AK9" s="311">
        <f>AG9+AI9</f>
        <v>2000</v>
      </c>
      <c r="AL9" s="312"/>
      <c r="AM9" s="308">
        <f>1448.07</f>
        <v>1448.07</v>
      </c>
      <c r="AN9" s="309"/>
      <c r="AO9" s="310">
        <v>2000</v>
      </c>
      <c r="AP9" s="305"/>
      <c r="AQ9" s="305"/>
      <c r="AR9" s="307"/>
      <c r="AS9" s="284">
        <f>SUM(AO9:AR9)</f>
        <v>2000</v>
      </c>
      <c r="AT9" s="312"/>
      <c r="AU9" s="289">
        <v>0</v>
      </c>
      <c r="AV9" s="309"/>
      <c r="AW9" s="310">
        <v>0</v>
      </c>
      <c r="AX9" s="305"/>
      <c r="AY9" s="305"/>
      <c r="AZ9" s="307"/>
      <c r="BA9" s="284">
        <f>SUM(AW9:AZ9)</f>
        <v>0</v>
      </c>
      <c r="BB9" s="312"/>
    </row>
    <row r="10" spans="1:55" s="271" customFormat="1" ht="16.5" thickBot="1" x14ac:dyDescent="0.25">
      <c r="A10" s="313"/>
      <c r="B10" s="314" t="s">
        <v>112</v>
      </c>
      <c r="C10" s="315"/>
      <c r="D10" s="316"/>
      <c r="E10" s="317">
        <f>SUM(D5:D9)</f>
        <v>19121.57</v>
      </c>
      <c r="F10" s="315"/>
      <c r="G10" s="316"/>
      <c r="H10" s="318">
        <f>SUM(G5:G9)</f>
        <v>23995.7</v>
      </c>
      <c r="I10" s="319"/>
      <c r="J10" s="316">
        <f>SUM(I5:I9)</f>
        <v>21000</v>
      </c>
      <c r="K10" s="316"/>
      <c r="L10" s="318">
        <f>SUM(K5:K9)</f>
        <v>39111.800000000003</v>
      </c>
      <c r="M10" s="315"/>
      <c r="N10" s="316">
        <f>SUM(M5:M9)</f>
        <v>34500</v>
      </c>
      <c r="O10" s="319"/>
      <c r="P10" s="318">
        <f>SUM(O5:O9)</f>
        <v>30639.190000000002</v>
      </c>
      <c r="Q10" s="315"/>
      <c r="R10" s="317">
        <f>SUM(Q5:Q9)</f>
        <v>33500</v>
      </c>
      <c r="S10" s="315"/>
      <c r="T10" s="318">
        <f>SUM(S5:S9)</f>
        <v>29310</v>
      </c>
      <c r="U10" s="319"/>
      <c r="V10" s="316">
        <f>SUM(U5:U9)</f>
        <v>29000</v>
      </c>
      <c r="W10" s="320"/>
      <c r="X10" s="321">
        <f>SUM(W5:W9)</f>
        <v>29011.48</v>
      </c>
      <c r="Y10" s="315"/>
      <c r="Z10" s="316">
        <f>SUM(Y5:Y9)</f>
        <v>31500</v>
      </c>
      <c r="AA10" s="316"/>
      <c r="AB10" s="316">
        <f>SUM(AA5:AA9)</f>
        <v>2200</v>
      </c>
      <c r="AC10" s="319"/>
      <c r="AD10" s="317">
        <f>SUM(AC5:AC9)</f>
        <v>33700</v>
      </c>
      <c r="AE10" s="315"/>
      <c r="AF10" s="731">
        <f>SUM(AE5:AE9)</f>
        <v>39625.42</v>
      </c>
      <c r="AG10" s="319"/>
      <c r="AH10" s="316">
        <f>SUM(AG5:AG9)</f>
        <v>33200</v>
      </c>
      <c r="AI10" s="316"/>
      <c r="AJ10" s="317">
        <f>SUM(AI5:AI9)</f>
        <v>800</v>
      </c>
      <c r="AK10" s="315"/>
      <c r="AL10" s="318">
        <f>SUM(AK5:AK9)</f>
        <v>34000</v>
      </c>
      <c r="AM10" s="315"/>
      <c r="AN10" s="731">
        <f>SUM(AM5:AM9)</f>
        <v>36866.82</v>
      </c>
      <c r="AO10" s="319"/>
      <c r="AP10" s="316">
        <f>SUM(AO5:AO9)</f>
        <v>40200</v>
      </c>
      <c r="AQ10" s="316"/>
      <c r="AR10" s="317">
        <f>SUM(AQ5:AQ9)</f>
        <v>800</v>
      </c>
      <c r="AS10" s="315"/>
      <c r="AT10" s="318">
        <f>SUM(AS5:AS9)</f>
        <v>41000</v>
      </c>
      <c r="AU10" s="315"/>
      <c r="AV10" s="731">
        <f>SUM(AU5:AU9)</f>
        <v>35937.54</v>
      </c>
      <c r="AW10" s="319"/>
      <c r="AX10" s="316">
        <f>SUM(AW5:AW9)</f>
        <v>37500</v>
      </c>
      <c r="AY10" s="316"/>
      <c r="AZ10" s="317">
        <f>SUM(AY5:AY9)</f>
        <v>1500</v>
      </c>
      <c r="BA10" s="315"/>
      <c r="BB10" s="318">
        <f>SUM(BA5:BA9)</f>
        <v>39000</v>
      </c>
    </row>
    <row r="11" spans="1:55" s="271" customFormat="1" x14ac:dyDescent="0.2">
      <c r="A11" s="322">
        <v>61</v>
      </c>
      <c r="B11" s="323" t="s">
        <v>10</v>
      </c>
      <c r="C11" s="324"/>
      <c r="D11" s="325"/>
      <c r="E11" s="326"/>
      <c r="F11" s="327"/>
      <c r="G11" s="328"/>
      <c r="H11" s="329"/>
      <c r="I11" s="330"/>
      <c r="J11" s="328"/>
      <c r="K11" s="331"/>
      <c r="L11" s="332"/>
      <c r="M11" s="333"/>
      <c r="N11" s="331"/>
      <c r="O11" s="334"/>
      <c r="P11" s="332"/>
      <c r="Q11" s="333"/>
      <c r="R11" s="335"/>
      <c r="S11" s="333"/>
      <c r="T11" s="332"/>
      <c r="U11" s="336"/>
      <c r="V11" s="337"/>
      <c r="W11" s="334"/>
      <c r="X11" s="332"/>
      <c r="Y11" s="270"/>
      <c r="Z11" s="337"/>
      <c r="AA11" s="337"/>
      <c r="AB11" s="337"/>
      <c r="AC11" s="336"/>
      <c r="AD11" s="338"/>
      <c r="AE11" s="270"/>
      <c r="AF11" s="339"/>
      <c r="AG11" s="336"/>
      <c r="AH11" s="337"/>
      <c r="AI11" s="337"/>
      <c r="AJ11" s="338"/>
      <c r="AK11" s="270"/>
      <c r="AL11" s="339"/>
      <c r="AM11" s="270"/>
      <c r="AN11" s="339"/>
      <c r="AO11" s="336"/>
      <c r="AP11" s="337"/>
      <c r="AQ11" s="337"/>
      <c r="AR11" s="338"/>
      <c r="AS11" s="270"/>
      <c r="AT11" s="339"/>
      <c r="AU11" s="270"/>
      <c r="AV11" s="339"/>
      <c r="AW11" s="336"/>
      <c r="AX11" s="337"/>
      <c r="AY11" s="337"/>
      <c r="AZ11" s="338"/>
      <c r="BA11" s="270"/>
      <c r="BB11" s="339"/>
    </row>
    <row r="12" spans="1:55" s="271" customFormat="1" x14ac:dyDescent="0.2">
      <c r="A12" s="272"/>
      <c r="B12" s="273" t="s">
        <v>113</v>
      </c>
      <c r="C12" s="274">
        <v>2771.9</v>
      </c>
      <c r="D12" s="278">
        <v>4176.42</v>
      </c>
      <c r="E12" s="340"/>
      <c r="F12" s="277">
        <v>3650</v>
      </c>
      <c r="G12" s="278">
        <v>3334.7</v>
      </c>
      <c r="H12" s="279"/>
      <c r="I12" s="280">
        <v>3500</v>
      </c>
      <c r="J12" s="281"/>
      <c r="K12" s="282">
        <v>3488.51</v>
      </c>
      <c r="L12" s="283"/>
      <c r="M12" s="284">
        <v>3500</v>
      </c>
      <c r="N12" s="282"/>
      <c r="O12" s="285">
        <f>3138.72-49.76</f>
        <v>3088.9599999999996</v>
      </c>
      <c r="P12" s="283"/>
      <c r="Q12" s="284">
        <v>3500</v>
      </c>
      <c r="R12" s="286"/>
      <c r="S12" s="284">
        <v>3096</v>
      </c>
      <c r="T12" s="283"/>
      <c r="U12" s="341">
        <v>3200</v>
      </c>
      <c r="V12" s="282"/>
      <c r="W12" s="287">
        <v>3649.41</v>
      </c>
      <c r="X12" s="288"/>
      <c r="Y12" s="342">
        <v>4000</v>
      </c>
      <c r="Z12" s="282"/>
      <c r="AA12" s="343"/>
      <c r="AB12" s="282"/>
      <c r="AC12" s="344">
        <f t="shared" ref="AC12:AC20" si="0">Y12+AA12</f>
        <v>4000</v>
      </c>
      <c r="AD12" s="286"/>
      <c r="AE12" s="345">
        <v>4295.63</v>
      </c>
      <c r="AF12" s="290"/>
      <c r="AG12" s="344">
        <v>4500</v>
      </c>
      <c r="AH12" s="282"/>
      <c r="AI12" s="343"/>
      <c r="AJ12" s="286"/>
      <c r="AK12" s="342">
        <f t="shared" ref="AK12:AK20" si="1">AG12+AI12</f>
        <v>4500</v>
      </c>
      <c r="AL12" s="283"/>
      <c r="AM12" s="345">
        <v>5850.79</v>
      </c>
      <c r="AN12" s="290"/>
      <c r="AO12" s="344">
        <v>5000</v>
      </c>
      <c r="AP12" s="282"/>
      <c r="AQ12" s="343"/>
      <c r="AR12" s="286"/>
      <c r="AS12" s="284">
        <f t="shared" ref="AS12:AS20" si="2">SUM(AO12:AR12)</f>
        <v>5000</v>
      </c>
      <c r="AT12" s="283"/>
      <c r="AU12" s="345">
        <v>2710.74</v>
      </c>
      <c r="AV12" s="290"/>
      <c r="AW12" s="344">
        <v>4000</v>
      </c>
      <c r="AX12" s="282"/>
      <c r="AY12" s="343"/>
      <c r="AZ12" s="286"/>
      <c r="BA12" s="284">
        <f t="shared" ref="BA12:BA22" si="3">SUM(AW12:AZ12)</f>
        <v>4000</v>
      </c>
      <c r="BB12" s="283"/>
    </row>
    <row r="13" spans="1:55" s="271" customFormat="1" x14ac:dyDescent="0.2">
      <c r="A13" s="272"/>
      <c r="B13" s="273" t="s">
        <v>114</v>
      </c>
      <c r="C13" s="274">
        <v>250.99</v>
      </c>
      <c r="D13" s="278">
        <v>247.2</v>
      </c>
      <c r="E13" s="340"/>
      <c r="F13" s="277">
        <v>250</v>
      </c>
      <c r="G13" s="278">
        <v>210.39</v>
      </c>
      <c r="H13" s="279"/>
      <c r="I13" s="280">
        <v>250</v>
      </c>
      <c r="J13" s="281"/>
      <c r="K13" s="282">
        <v>241.98</v>
      </c>
      <c r="L13" s="283"/>
      <c r="M13" s="284">
        <v>300</v>
      </c>
      <c r="N13" s="282"/>
      <c r="O13" s="285">
        <v>168.28</v>
      </c>
      <c r="P13" s="283"/>
      <c r="Q13" s="284">
        <v>300</v>
      </c>
      <c r="R13" s="286"/>
      <c r="S13" s="284">
        <v>124</v>
      </c>
      <c r="T13" s="283"/>
      <c r="U13" s="341">
        <v>200</v>
      </c>
      <c r="V13" s="282"/>
      <c r="W13" s="287">
        <v>272.29000000000002</v>
      </c>
      <c r="X13" s="288"/>
      <c r="Y13" s="342">
        <v>300</v>
      </c>
      <c r="Z13" s="282"/>
      <c r="AA13" s="343"/>
      <c r="AB13" s="282"/>
      <c r="AC13" s="344">
        <f t="shared" si="0"/>
        <v>300</v>
      </c>
      <c r="AD13" s="286"/>
      <c r="AE13" s="345">
        <v>217.81</v>
      </c>
      <c r="AF13" s="290"/>
      <c r="AG13" s="344">
        <v>300</v>
      </c>
      <c r="AH13" s="282"/>
      <c r="AI13" s="343"/>
      <c r="AJ13" s="286"/>
      <c r="AK13" s="342">
        <f t="shared" si="1"/>
        <v>300</v>
      </c>
      <c r="AL13" s="283"/>
      <c r="AM13" s="345">
        <v>238.49</v>
      </c>
      <c r="AN13" s="290"/>
      <c r="AO13" s="344">
        <v>300</v>
      </c>
      <c r="AP13" s="282"/>
      <c r="AQ13" s="343"/>
      <c r="AR13" s="286"/>
      <c r="AS13" s="284">
        <f t="shared" si="2"/>
        <v>300</v>
      </c>
      <c r="AT13" s="283"/>
      <c r="AU13" s="345">
        <v>266.01</v>
      </c>
      <c r="AV13" s="290"/>
      <c r="AW13" s="344">
        <v>300</v>
      </c>
      <c r="AX13" s="282"/>
      <c r="AY13" s="343"/>
      <c r="AZ13" s="286"/>
      <c r="BA13" s="284">
        <f t="shared" si="3"/>
        <v>300</v>
      </c>
      <c r="BB13" s="283"/>
    </row>
    <row r="14" spans="1:55" s="271" customFormat="1" x14ac:dyDescent="0.2">
      <c r="A14" s="272"/>
      <c r="B14" s="273" t="s">
        <v>115</v>
      </c>
      <c r="C14" s="274">
        <v>4068.16</v>
      </c>
      <c r="D14" s="278">
        <v>1746.43</v>
      </c>
      <c r="E14" s="340"/>
      <c r="F14" s="277">
        <v>1800</v>
      </c>
      <c r="G14" s="278">
        <v>2473.62</v>
      </c>
      <c r="H14" s="279"/>
      <c r="I14" s="280">
        <v>2500</v>
      </c>
      <c r="J14" s="281"/>
      <c r="K14" s="282">
        <v>1503.04</v>
      </c>
      <c r="L14" s="283"/>
      <c r="M14" s="284">
        <v>2000</v>
      </c>
      <c r="N14" s="282"/>
      <c r="O14" s="285">
        <v>4540</v>
      </c>
      <c r="P14" s="283"/>
      <c r="Q14" s="284">
        <v>2700</v>
      </c>
      <c r="R14" s="286"/>
      <c r="S14" s="284">
        <v>2397</v>
      </c>
      <c r="T14" s="283"/>
      <c r="U14" s="341">
        <v>2500</v>
      </c>
      <c r="V14" s="282"/>
      <c r="W14" s="287">
        <v>2658.06</v>
      </c>
      <c r="X14" s="288"/>
      <c r="Y14" s="342">
        <v>2500</v>
      </c>
      <c r="Z14" s="282"/>
      <c r="AA14" s="343"/>
      <c r="AB14" s="282"/>
      <c r="AC14" s="344">
        <f t="shared" si="0"/>
        <v>2500</v>
      </c>
      <c r="AD14" s="286"/>
      <c r="AE14" s="345">
        <f>2160.85+609.57+374.09</f>
        <v>3144.51</v>
      </c>
      <c r="AF14" s="290"/>
      <c r="AG14" s="344">
        <v>2500</v>
      </c>
      <c r="AH14" s="282"/>
      <c r="AI14" s="343">
        <v>1000</v>
      </c>
      <c r="AJ14" s="286"/>
      <c r="AK14" s="342">
        <f t="shared" si="1"/>
        <v>3500</v>
      </c>
      <c r="AL14" s="283"/>
      <c r="AM14" s="345">
        <f>1475.64+1579.54+488.8</f>
        <v>3543.9800000000005</v>
      </c>
      <c r="AN14" s="290"/>
      <c r="AO14" s="344">
        <v>2500</v>
      </c>
      <c r="AP14" s="282"/>
      <c r="AQ14" s="343">
        <v>1000</v>
      </c>
      <c r="AR14" s="286"/>
      <c r="AS14" s="284">
        <f t="shared" si="2"/>
        <v>3500</v>
      </c>
      <c r="AT14" s="283"/>
      <c r="AU14" s="345">
        <v>4387.5200000000004</v>
      </c>
      <c r="AV14" s="290"/>
      <c r="AW14" s="344">
        <v>4000</v>
      </c>
      <c r="AX14" s="282"/>
      <c r="AY14" s="343">
        <v>1000</v>
      </c>
      <c r="AZ14" s="286"/>
      <c r="BA14" s="284">
        <f t="shared" si="3"/>
        <v>5000</v>
      </c>
      <c r="BB14" s="283"/>
    </row>
    <row r="15" spans="1:55" s="271" customFormat="1" x14ac:dyDescent="0.2">
      <c r="A15" s="272"/>
      <c r="B15" s="273" t="s">
        <v>116</v>
      </c>
      <c r="C15" s="274">
        <v>4233.8</v>
      </c>
      <c r="D15" s="278">
        <v>887.29</v>
      </c>
      <c r="E15" s="340"/>
      <c r="F15" s="277">
        <v>1000</v>
      </c>
      <c r="G15" s="278">
        <v>3612.96</v>
      </c>
      <c r="H15" s="279"/>
      <c r="I15" s="280">
        <v>2750</v>
      </c>
      <c r="J15" s="281"/>
      <c r="K15" s="282">
        <v>1683.26</v>
      </c>
      <c r="L15" s="283"/>
      <c r="M15" s="284">
        <v>2500</v>
      </c>
      <c r="N15" s="282"/>
      <c r="O15" s="285">
        <v>10945.43</v>
      </c>
      <c r="P15" s="283"/>
      <c r="Q15" s="284">
        <v>4000</v>
      </c>
      <c r="R15" s="286"/>
      <c r="S15" s="284">
        <v>1258</v>
      </c>
      <c r="T15" s="283"/>
      <c r="U15" s="341">
        <v>2000</v>
      </c>
      <c r="V15" s="282"/>
      <c r="W15" s="287">
        <v>1245.1099999999999</v>
      </c>
      <c r="X15" s="288"/>
      <c r="Y15" s="342">
        <v>1500</v>
      </c>
      <c r="Z15" s="282"/>
      <c r="AA15" s="343"/>
      <c r="AB15" s="282"/>
      <c r="AC15" s="344">
        <f t="shared" si="0"/>
        <v>1500</v>
      </c>
      <c r="AD15" s="286"/>
      <c r="AE15" s="345">
        <v>1390.41</v>
      </c>
      <c r="AF15" s="290"/>
      <c r="AG15" s="344">
        <v>2000</v>
      </c>
      <c r="AH15" s="282"/>
      <c r="AI15" s="343"/>
      <c r="AJ15" s="286"/>
      <c r="AK15" s="342">
        <f t="shared" si="1"/>
        <v>2000</v>
      </c>
      <c r="AL15" s="283"/>
      <c r="AM15" s="345">
        <v>2020.39</v>
      </c>
      <c r="AN15" s="290"/>
      <c r="AO15" s="344">
        <v>3000</v>
      </c>
      <c r="AP15" s="282"/>
      <c r="AQ15" s="343"/>
      <c r="AR15" s="286"/>
      <c r="AS15" s="284">
        <f t="shared" si="2"/>
        <v>3000</v>
      </c>
      <c r="AT15" s="283"/>
      <c r="AU15" s="345">
        <v>2218.7399999999998</v>
      </c>
      <c r="AV15" s="290"/>
      <c r="AW15" s="344">
        <v>3000</v>
      </c>
      <c r="AX15" s="282"/>
      <c r="AY15" s="343"/>
      <c r="AZ15" s="286"/>
      <c r="BA15" s="284">
        <f t="shared" si="3"/>
        <v>3000</v>
      </c>
      <c r="BB15" s="283"/>
    </row>
    <row r="16" spans="1:55" s="271" customFormat="1" x14ac:dyDescent="0.2">
      <c r="A16" s="272"/>
      <c r="B16" s="273" t="s">
        <v>117</v>
      </c>
      <c r="C16" s="274">
        <v>147.63999999999999</v>
      </c>
      <c r="D16" s="278">
        <v>0</v>
      </c>
      <c r="E16" s="340"/>
      <c r="F16" s="277">
        <v>150</v>
      </c>
      <c r="G16" s="278">
        <v>814.03</v>
      </c>
      <c r="H16" s="279"/>
      <c r="I16" s="280">
        <v>400</v>
      </c>
      <c r="J16" s="281"/>
      <c r="K16" s="282">
        <v>2463.06</v>
      </c>
      <c r="L16" s="283"/>
      <c r="M16" s="284">
        <v>500</v>
      </c>
      <c r="N16" s="282"/>
      <c r="O16" s="285">
        <v>998</v>
      </c>
      <c r="P16" s="283"/>
      <c r="Q16" s="284">
        <v>1000</v>
      </c>
      <c r="R16" s="286"/>
      <c r="S16" s="284">
        <v>879</v>
      </c>
      <c r="T16" s="283"/>
      <c r="U16" s="346">
        <v>1000</v>
      </c>
      <c r="V16" s="282"/>
      <c r="W16" s="287">
        <v>195.98</v>
      </c>
      <c r="X16" s="288"/>
      <c r="Y16" s="342">
        <v>600</v>
      </c>
      <c r="Z16" s="282"/>
      <c r="AA16" s="343">
        <v>800</v>
      </c>
      <c r="AB16" s="282"/>
      <c r="AC16" s="344">
        <f t="shared" si="0"/>
        <v>1400</v>
      </c>
      <c r="AD16" s="286"/>
      <c r="AE16" s="345">
        <v>443</v>
      </c>
      <c r="AF16" s="290"/>
      <c r="AG16" s="344">
        <v>500</v>
      </c>
      <c r="AH16" s="282"/>
      <c r="AI16" s="343">
        <v>500</v>
      </c>
      <c r="AJ16" s="286"/>
      <c r="AK16" s="342">
        <f t="shared" si="1"/>
        <v>1000</v>
      </c>
      <c r="AL16" s="283"/>
      <c r="AM16" s="345">
        <v>1171.58</v>
      </c>
      <c r="AN16" s="290"/>
      <c r="AO16" s="344">
        <v>500</v>
      </c>
      <c r="AP16" s="282"/>
      <c r="AQ16" s="343"/>
      <c r="AR16" s="286"/>
      <c r="AS16" s="284">
        <f t="shared" si="2"/>
        <v>500</v>
      </c>
      <c r="AT16" s="283"/>
      <c r="AU16" s="345">
        <v>1264.8800000000001</v>
      </c>
      <c r="AV16" s="290"/>
      <c r="AW16" s="706">
        <v>1500</v>
      </c>
      <c r="AX16" s="282"/>
      <c r="AY16" s="343"/>
      <c r="AZ16" s="286"/>
      <c r="BA16" s="284">
        <f t="shared" si="3"/>
        <v>1500</v>
      </c>
      <c r="BB16" s="283"/>
      <c r="BC16" s="271" t="s">
        <v>118</v>
      </c>
    </row>
    <row r="17" spans="1:57" s="271" customFormat="1" x14ac:dyDescent="0.2">
      <c r="A17" s="272"/>
      <c r="B17" s="273" t="s">
        <v>119</v>
      </c>
      <c r="C17" s="274">
        <v>884.8</v>
      </c>
      <c r="D17" s="278">
        <v>2694.19</v>
      </c>
      <c r="E17" s="340"/>
      <c r="F17" s="277">
        <v>1800</v>
      </c>
      <c r="G17" s="278">
        <v>1093.1600000000001</v>
      </c>
      <c r="H17" s="279"/>
      <c r="I17" s="280">
        <v>1000</v>
      </c>
      <c r="J17" s="281"/>
      <c r="K17" s="282">
        <f>471.36+987.33</f>
        <v>1458.69</v>
      </c>
      <c r="L17" s="283"/>
      <c r="M17" s="284">
        <v>1200</v>
      </c>
      <c r="N17" s="282"/>
      <c r="O17" s="285">
        <v>1190</v>
      </c>
      <c r="P17" s="283"/>
      <c r="Q17" s="284">
        <v>700</v>
      </c>
      <c r="R17" s="286"/>
      <c r="S17" s="284">
        <v>649</v>
      </c>
      <c r="T17" s="283"/>
      <c r="U17" s="341">
        <v>700</v>
      </c>
      <c r="V17" s="282"/>
      <c r="W17" s="287">
        <v>679.93</v>
      </c>
      <c r="X17" s="288"/>
      <c r="Y17" s="342">
        <v>700</v>
      </c>
      <c r="Z17" s="282"/>
      <c r="AA17" s="343"/>
      <c r="AB17" s="282"/>
      <c r="AC17" s="344">
        <f t="shared" si="0"/>
        <v>700</v>
      </c>
      <c r="AD17" s="286"/>
      <c r="AE17" s="345">
        <v>740.69</v>
      </c>
      <c r="AF17" s="290"/>
      <c r="AG17" s="344">
        <v>800</v>
      </c>
      <c r="AH17" s="282"/>
      <c r="AI17" s="343"/>
      <c r="AJ17" s="286"/>
      <c r="AK17" s="342">
        <f t="shared" si="1"/>
        <v>800</v>
      </c>
      <c r="AL17" s="283"/>
      <c r="AM17" s="345">
        <v>799.88</v>
      </c>
      <c r="AN17" s="290"/>
      <c r="AO17" s="344">
        <v>800</v>
      </c>
      <c r="AP17" s="282"/>
      <c r="AQ17" s="343"/>
      <c r="AR17" s="286"/>
      <c r="AS17" s="284">
        <f t="shared" si="2"/>
        <v>800</v>
      </c>
      <c r="AT17" s="283"/>
      <c r="AU17" s="345">
        <v>785.36</v>
      </c>
      <c r="AV17" s="290"/>
      <c r="AW17" s="706">
        <v>800</v>
      </c>
      <c r="AX17" s="282"/>
      <c r="AY17" s="343"/>
      <c r="AZ17" s="286"/>
      <c r="BA17" s="284">
        <f t="shared" si="3"/>
        <v>800</v>
      </c>
      <c r="BB17" s="283"/>
    </row>
    <row r="18" spans="1:57" s="271" customFormat="1" x14ac:dyDescent="0.2">
      <c r="A18" s="272"/>
      <c r="B18" s="273" t="s">
        <v>120</v>
      </c>
      <c r="C18" s="274">
        <v>5776.4</v>
      </c>
      <c r="D18" s="278">
        <v>4815.42</v>
      </c>
      <c r="E18" s="340"/>
      <c r="F18" s="277">
        <v>4500</v>
      </c>
      <c r="G18" s="278">
        <v>5259.74</v>
      </c>
      <c r="H18" s="279"/>
      <c r="I18" s="280">
        <v>4500</v>
      </c>
      <c r="J18" s="281"/>
      <c r="K18" s="282">
        <v>7306.96</v>
      </c>
      <c r="L18" s="283"/>
      <c r="M18" s="284">
        <v>5500</v>
      </c>
      <c r="N18" s="282"/>
      <c r="O18" s="285">
        <v>1557</v>
      </c>
      <c r="P18" s="283"/>
      <c r="Q18" s="284">
        <v>3500</v>
      </c>
      <c r="R18" s="286"/>
      <c r="S18" s="284">
        <v>5420</v>
      </c>
      <c r="T18" s="283"/>
      <c r="U18" s="341">
        <v>3500</v>
      </c>
      <c r="V18" s="282"/>
      <c r="W18" s="287">
        <v>7567.52</v>
      </c>
      <c r="X18" s="288"/>
      <c r="Y18" s="342">
        <v>7000</v>
      </c>
      <c r="Z18" s="282"/>
      <c r="AA18" s="343">
        <v>2800</v>
      </c>
      <c r="AB18" s="282"/>
      <c r="AC18" s="344">
        <f t="shared" si="0"/>
        <v>9800</v>
      </c>
      <c r="AD18" s="286"/>
      <c r="AE18" s="345">
        <v>5806.35</v>
      </c>
      <c r="AF18" s="290"/>
      <c r="AG18" s="344">
        <v>6000</v>
      </c>
      <c r="AH18" s="282"/>
      <c r="AI18" s="343"/>
      <c r="AJ18" s="286"/>
      <c r="AK18" s="342">
        <f t="shared" si="1"/>
        <v>6000</v>
      </c>
      <c r="AL18" s="283"/>
      <c r="AM18" s="345">
        <v>4489.24</v>
      </c>
      <c r="AN18" s="290"/>
      <c r="AO18" s="344">
        <v>6000</v>
      </c>
      <c r="AP18" s="282"/>
      <c r="AQ18" s="343"/>
      <c r="AR18" s="286"/>
      <c r="AS18" s="284">
        <f t="shared" si="2"/>
        <v>6000</v>
      </c>
      <c r="AT18" s="283"/>
      <c r="AU18" s="345">
        <v>8761.93</v>
      </c>
      <c r="AV18" s="290"/>
      <c r="AW18" s="706">
        <v>8700</v>
      </c>
      <c r="AX18" s="282"/>
      <c r="AY18" s="343"/>
      <c r="AZ18" s="286"/>
      <c r="BA18" s="284">
        <f t="shared" si="3"/>
        <v>8700</v>
      </c>
      <c r="BB18" s="283"/>
      <c r="BC18" s="271" t="s">
        <v>121</v>
      </c>
    </row>
    <row r="19" spans="1:57" s="271" customFormat="1" x14ac:dyDescent="0.2">
      <c r="A19" s="272"/>
      <c r="B19" s="273" t="s">
        <v>122</v>
      </c>
      <c r="C19" s="274">
        <v>3369.71</v>
      </c>
      <c r="D19" s="278">
        <v>4633.18</v>
      </c>
      <c r="E19" s="340"/>
      <c r="F19" s="277">
        <v>4700</v>
      </c>
      <c r="G19" s="278">
        <v>4946.0600000000004</v>
      </c>
      <c r="H19" s="279"/>
      <c r="I19" s="280">
        <v>4900</v>
      </c>
      <c r="J19" s="281"/>
      <c r="K19" s="282">
        <v>4750.5200000000004</v>
      </c>
      <c r="L19" s="283"/>
      <c r="M19" s="284">
        <v>5000</v>
      </c>
      <c r="N19" s="282"/>
      <c r="O19" s="285">
        <f>5455.26-711.49</f>
        <v>4743.7700000000004</v>
      </c>
      <c r="P19" s="283"/>
      <c r="Q19" s="284">
        <v>5500</v>
      </c>
      <c r="R19" s="286"/>
      <c r="S19" s="284">
        <v>4715</v>
      </c>
      <c r="T19" s="283"/>
      <c r="U19" s="341">
        <v>5000</v>
      </c>
      <c r="V19" s="282"/>
      <c r="W19" s="287">
        <v>5537.17</v>
      </c>
      <c r="X19" s="288"/>
      <c r="Y19" s="342">
        <v>4500</v>
      </c>
      <c r="Z19" s="282"/>
      <c r="AA19" s="343">
        <v>1350</v>
      </c>
      <c r="AB19" s="282"/>
      <c r="AC19" s="344">
        <f t="shared" si="0"/>
        <v>5850</v>
      </c>
      <c r="AD19" s="286"/>
      <c r="AE19" s="345">
        <v>5887.2</v>
      </c>
      <c r="AF19" s="290"/>
      <c r="AG19" s="344">
        <v>4500</v>
      </c>
      <c r="AH19" s="282"/>
      <c r="AI19" s="343">
        <v>500</v>
      </c>
      <c r="AJ19" s="286"/>
      <c r="AK19" s="342">
        <f t="shared" si="1"/>
        <v>5000</v>
      </c>
      <c r="AL19" s="283"/>
      <c r="AM19" s="345">
        <f>3099.51</f>
        <v>3099.51</v>
      </c>
      <c r="AN19" s="290"/>
      <c r="AO19" s="344">
        <v>4500</v>
      </c>
      <c r="AP19" s="282"/>
      <c r="AQ19" s="343"/>
      <c r="AR19" s="286"/>
      <c r="AS19" s="284">
        <f t="shared" si="2"/>
        <v>4500</v>
      </c>
      <c r="AT19" s="283"/>
      <c r="AU19" s="345">
        <v>4149.1099999999997</v>
      </c>
      <c r="AV19" s="290"/>
      <c r="AW19" s="706">
        <v>4500</v>
      </c>
      <c r="AX19" s="282"/>
      <c r="AY19" s="343"/>
      <c r="AZ19" s="286"/>
      <c r="BA19" s="284">
        <f t="shared" si="3"/>
        <v>4500</v>
      </c>
      <c r="BB19" s="283"/>
    </row>
    <row r="20" spans="1:57" s="271" customFormat="1" x14ac:dyDescent="0.2">
      <c r="A20" s="347"/>
      <c r="B20" s="273" t="s">
        <v>123</v>
      </c>
      <c r="C20" s="348">
        <v>3407.6</v>
      </c>
      <c r="D20" s="349">
        <v>2901.6</v>
      </c>
      <c r="E20" s="350"/>
      <c r="F20" s="351">
        <v>3000</v>
      </c>
      <c r="G20" s="349">
        <v>2925.6</v>
      </c>
      <c r="H20" s="352"/>
      <c r="I20" s="353">
        <v>3000</v>
      </c>
      <c r="J20" s="354"/>
      <c r="K20" s="355">
        <v>3398.4</v>
      </c>
      <c r="L20" s="356"/>
      <c r="M20" s="357">
        <v>3500</v>
      </c>
      <c r="N20" s="355"/>
      <c r="O20" s="341">
        <f>3888</f>
        <v>3888</v>
      </c>
      <c r="P20" s="356"/>
      <c r="Q20" s="357">
        <v>3500</v>
      </c>
      <c r="R20" s="358"/>
      <c r="S20" s="284">
        <v>3780</v>
      </c>
      <c r="T20" s="356"/>
      <c r="U20" s="341">
        <v>4000</v>
      </c>
      <c r="V20" s="355"/>
      <c r="W20" s="287">
        <f>3782.4+260</f>
        <v>4042.4</v>
      </c>
      <c r="X20" s="359"/>
      <c r="Y20" s="360">
        <v>4000</v>
      </c>
      <c r="Z20" s="355"/>
      <c r="AA20" s="361"/>
      <c r="AB20" s="355"/>
      <c r="AC20" s="344">
        <f t="shared" si="0"/>
        <v>4000</v>
      </c>
      <c r="AD20" s="358"/>
      <c r="AE20" s="289">
        <v>3837</v>
      </c>
      <c r="AF20" s="290"/>
      <c r="AG20" s="362">
        <v>4000</v>
      </c>
      <c r="AH20" s="355"/>
      <c r="AI20" s="361"/>
      <c r="AJ20" s="358"/>
      <c r="AK20" s="342">
        <f t="shared" si="1"/>
        <v>4000</v>
      </c>
      <c r="AL20" s="356"/>
      <c r="AM20" s="289">
        <v>7276.8</v>
      </c>
      <c r="AN20" s="290"/>
      <c r="AO20" s="362">
        <v>5000</v>
      </c>
      <c r="AP20" s="355"/>
      <c r="AQ20" s="361"/>
      <c r="AR20" s="358"/>
      <c r="AS20" s="284">
        <f t="shared" si="2"/>
        <v>5000</v>
      </c>
      <c r="AT20" s="356"/>
      <c r="AU20" s="289">
        <f>2413.2+1800</f>
        <v>4213.2</v>
      </c>
      <c r="AV20" s="290"/>
      <c r="AW20" s="737">
        <v>4500</v>
      </c>
      <c r="AX20" s="355"/>
      <c r="AY20" s="361"/>
      <c r="AZ20" s="358"/>
      <c r="BA20" s="284">
        <f t="shared" si="3"/>
        <v>4500</v>
      </c>
      <c r="BB20" s="356"/>
    </row>
    <row r="21" spans="1:57" s="271" customFormat="1" x14ac:dyDescent="0.2">
      <c r="A21" s="363"/>
      <c r="B21" s="273" t="s">
        <v>124</v>
      </c>
      <c r="C21" s="364"/>
      <c r="D21" s="365"/>
      <c r="E21" s="366"/>
      <c r="F21" s="367"/>
      <c r="G21" s="365"/>
      <c r="H21" s="368"/>
      <c r="I21" s="369"/>
      <c r="J21" s="370"/>
      <c r="K21" s="371"/>
      <c r="L21" s="372"/>
      <c r="M21" s="373"/>
      <c r="N21" s="371"/>
      <c r="O21" s="374"/>
      <c r="P21" s="372"/>
      <c r="Q21" s="373"/>
      <c r="R21" s="375"/>
      <c r="S21" s="284"/>
      <c r="T21" s="372"/>
      <c r="U21" s="374"/>
      <c r="V21" s="371"/>
      <c r="W21" s="287"/>
      <c r="X21" s="376"/>
      <c r="Y21" s="377"/>
      <c r="Z21" s="371"/>
      <c r="AA21" s="378"/>
      <c r="AB21" s="371"/>
      <c r="AC21" s="379"/>
      <c r="AD21" s="375"/>
      <c r="AE21" s="380"/>
      <c r="AF21" s="381"/>
      <c r="AG21" s="382"/>
      <c r="AH21" s="371"/>
      <c r="AI21" s="378"/>
      <c r="AJ21" s="375"/>
      <c r="AK21" s="383"/>
      <c r="AL21" s="372"/>
      <c r="AM21" s="380">
        <v>0</v>
      </c>
      <c r="AN21" s="381"/>
      <c r="AO21" s="382"/>
      <c r="AP21" s="371"/>
      <c r="AQ21" s="378"/>
      <c r="AR21" s="375"/>
      <c r="AS21" s="284"/>
      <c r="AT21" s="372"/>
      <c r="AU21" s="380">
        <v>11120</v>
      </c>
      <c r="AV21" s="381"/>
      <c r="AW21" s="738">
        <v>0</v>
      </c>
      <c r="AX21" s="371"/>
      <c r="AY21" s="378"/>
      <c r="AZ21" s="375"/>
      <c r="BA21" s="284">
        <f t="shared" si="3"/>
        <v>0</v>
      </c>
      <c r="BB21" s="372"/>
      <c r="BC21" s="271" t="s">
        <v>125</v>
      </c>
    </row>
    <row r="22" spans="1:57" s="271" customFormat="1" ht="16.5" thickBot="1" x14ac:dyDescent="0.25">
      <c r="A22" s="384"/>
      <c r="B22" s="385" t="s">
        <v>126</v>
      </c>
      <c r="C22" s="386">
        <v>372</v>
      </c>
      <c r="D22" s="305"/>
      <c r="E22" s="387"/>
      <c r="F22" s="304"/>
      <c r="G22" s="388"/>
      <c r="H22" s="312"/>
      <c r="I22" s="310"/>
      <c r="J22" s="305"/>
      <c r="K22" s="305"/>
      <c r="L22" s="312"/>
      <c r="M22" s="304"/>
      <c r="N22" s="305"/>
      <c r="O22" s="310">
        <v>846</v>
      </c>
      <c r="P22" s="312"/>
      <c r="Q22" s="304"/>
      <c r="R22" s="307"/>
      <c r="S22" s="284">
        <v>1656</v>
      </c>
      <c r="T22" s="312"/>
      <c r="U22" s="310"/>
      <c r="V22" s="305"/>
      <c r="W22" s="287">
        <v>1206</v>
      </c>
      <c r="X22" s="389"/>
      <c r="Y22" s="390"/>
      <c r="Z22" s="305"/>
      <c r="AA22" s="391">
        <v>2000</v>
      </c>
      <c r="AB22" s="305"/>
      <c r="AC22" s="392">
        <f>Y22+AA22</f>
        <v>2000</v>
      </c>
      <c r="AD22" s="307"/>
      <c r="AE22" s="393">
        <v>61.45</v>
      </c>
      <c r="AF22" s="309"/>
      <c r="AG22" s="394"/>
      <c r="AH22" s="305"/>
      <c r="AI22" s="391"/>
      <c r="AJ22" s="307"/>
      <c r="AK22" s="395">
        <f>AG22+AI22</f>
        <v>0</v>
      </c>
      <c r="AL22" s="312"/>
      <c r="AM22" s="393">
        <v>147.47999999999999</v>
      </c>
      <c r="AN22" s="309"/>
      <c r="AO22" s="394">
        <v>200</v>
      </c>
      <c r="AP22" s="305"/>
      <c r="AQ22" s="391"/>
      <c r="AR22" s="307"/>
      <c r="AS22" s="284">
        <f>SUM(AO22:AR22)</f>
        <v>200</v>
      </c>
      <c r="AT22" s="312"/>
      <c r="AU22" s="393">
        <v>147.47999999999999</v>
      </c>
      <c r="AV22" s="309"/>
      <c r="AW22" s="394">
        <v>150</v>
      </c>
      <c r="AX22" s="305"/>
      <c r="AY22" s="391"/>
      <c r="AZ22" s="307"/>
      <c r="BA22" s="284">
        <f t="shared" si="3"/>
        <v>150</v>
      </c>
      <c r="BB22" s="312"/>
    </row>
    <row r="23" spans="1:57" s="271" customFormat="1" ht="16.5" thickBot="1" x14ac:dyDescent="0.25">
      <c r="A23" s="313"/>
      <c r="B23" s="314" t="s">
        <v>112</v>
      </c>
      <c r="C23" s="396"/>
      <c r="D23" s="397"/>
      <c r="E23" s="398">
        <f>SUM(D12:D22)</f>
        <v>22101.73</v>
      </c>
      <c r="F23" s="399"/>
      <c r="G23" s="400"/>
      <c r="H23" s="401">
        <f>SUM(G12:G22)</f>
        <v>24670.26</v>
      </c>
      <c r="I23" s="402"/>
      <c r="J23" s="400">
        <f>SUM(I12:I22)</f>
        <v>22800</v>
      </c>
      <c r="K23" s="400"/>
      <c r="L23" s="401">
        <f>SUM(K12:K22)</f>
        <v>26294.420000000002</v>
      </c>
      <c r="M23" s="399"/>
      <c r="N23" s="400">
        <f>SUM(M12:M22)</f>
        <v>24000</v>
      </c>
      <c r="O23" s="402"/>
      <c r="P23" s="401">
        <f>SUM(O12:O22)</f>
        <v>31965.439999999999</v>
      </c>
      <c r="Q23" s="399"/>
      <c r="R23" s="398">
        <f>SUM(Q12:Q22)</f>
        <v>24700</v>
      </c>
      <c r="S23" s="399"/>
      <c r="T23" s="401">
        <f>SUM(S12:S22)</f>
        <v>23974</v>
      </c>
      <c r="U23" s="402"/>
      <c r="V23" s="400">
        <f>SUM(U12:U22)</f>
        <v>22100</v>
      </c>
      <c r="W23" s="403"/>
      <c r="X23" s="404">
        <f>SUM(W12:W22)</f>
        <v>27053.870000000003</v>
      </c>
      <c r="Y23" s="399"/>
      <c r="Z23" s="400">
        <f>SUM(Y12:Y22)</f>
        <v>25100</v>
      </c>
      <c r="AA23" s="400"/>
      <c r="AB23" s="400">
        <f>SUM(AA12:AA22)</f>
        <v>6950</v>
      </c>
      <c r="AC23" s="402"/>
      <c r="AD23" s="398">
        <f>SUM(AC12:AC22)</f>
        <v>32050</v>
      </c>
      <c r="AE23" s="315"/>
      <c r="AF23" s="669">
        <f>SUM(AE12:AE22)</f>
        <v>25824.050000000003</v>
      </c>
      <c r="AG23" s="402"/>
      <c r="AH23" s="400">
        <f>SUM(AG12:AG22)</f>
        <v>25100</v>
      </c>
      <c r="AI23" s="400"/>
      <c r="AJ23" s="398">
        <f>SUM(AI12:AI22)</f>
        <v>2000</v>
      </c>
      <c r="AK23" s="399"/>
      <c r="AL23" s="401">
        <f>SUM(AK12:AK22)</f>
        <v>27100</v>
      </c>
      <c r="AM23" s="315"/>
      <c r="AN23" s="669">
        <f>SUM(AM12:AM22)</f>
        <v>28638.14</v>
      </c>
      <c r="AO23" s="319"/>
      <c r="AP23" s="316">
        <f>SUM(AO12:AO22)</f>
        <v>27800</v>
      </c>
      <c r="AQ23" s="316"/>
      <c r="AR23" s="317">
        <f>SUM(AQ12:AQ22)</f>
        <v>1000</v>
      </c>
      <c r="AS23" s="315"/>
      <c r="AT23" s="318">
        <f>SUM(AS12:AS22)</f>
        <v>28800</v>
      </c>
      <c r="AU23" s="315"/>
      <c r="AV23" s="669">
        <f>SUM(AU12:AU22)</f>
        <v>40024.970000000008</v>
      </c>
      <c r="AW23" s="319"/>
      <c r="AX23" s="316">
        <f>SUM(AW12:AW22)</f>
        <v>31450</v>
      </c>
      <c r="AY23" s="316"/>
      <c r="AZ23" s="317">
        <f>SUM(AY12:AY22)</f>
        <v>1000</v>
      </c>
      <c r="BA23" s="315"/>
      <c r="BB23" s="318">
        <f>SUM(BA12:BA22)</f>
        <v>32450</v>
      </c>
    </row>
    <row r="24" spans="1:57" s="271" customFormat="1" x14ac:dyDescent="0.2">
      <c r="A24" s="263">
        <v>62</v>
      </c>
      <c r="B24" s="405" t="s">
        <v>11</v>
      </c>
      <c r="C24" s="406"/>
      <c r="D24" s="407"/>
      <c r="E24" s="408"/>
      <c r="F24" s="406"/>
      <c r="G24" s="407"/>
      <c r="H24" s="409"/>
      <c r="I24" s="410"/>
      <c r="J24" s="411"/>
      <c r="K24" s="337"/>
      <c r="L24" s="339"/>
      <c r="M24" s="270"/>
      <c r="N24" s="337"/>
      <c r="O24" s="336"/>
      <c r="P24" s="339"/>
      <c r="Q24" s="270"/>
      <c r="R24" s="338"/>
      <c r="S24" s="270"/>
      <c r="T24" s="339"/>
      <c r="U24" s="336"/>
      <c r="V24" s="337"/>
      <c r="W24" s="336"/>
      <c r="X24" s="339"/>
      <c r="Y24" s="270"/>
      <c r="Z24" s="337"/>
      <c r="AA24" s="337"/>
      <c r="AB24" s="337"/>
      <c r="AC24" s="336"/>
      <c r="AD24" s="338"/>
      <c r="AE24" s="270"/>
      <c r="AF24" s="339"/>
      <c r="AG24" s="336"/>
      <c r="AH24" s="337"/>
      <c r="AI24" s="337"/>
      <c r="AJ24" s="338"/>
      <c r="AK24" s="270"/>
      <c r="AL24" s="339"/>
      <c r="AM24" s="270"/>
      <c r="AN24" s="339"/>
      <c r="AO24" s="336"/>
      <c r="AP24" s="337"/>
      <c r="AQ24" s="337"/>
      <c r="AR24" s="338"/>
      <c r="AS24" s="270"/>
      <c r="AT24" s="339"/>
      <c r="AU24" s="270"/>
      <c r="AV24" s="339"/>
      <c r="AW24" s="336"/>
      <c r="AX24" s="337"/>
      <c r="AY24" s="337"/>
      <c r="AZ24" s="338"/>
      <c r="BA24" s="270"/>
      <c r="BB24" s="339"/>
    </row>
    <row r="25" spans="1:57" s="271" customFormat="1" x14ac:dyDescent="0.2">
      <c r="A25" s="272"/>
      <c r="B25" s="273" t="s">
        <v>127</v>
      </c>
      <c r="C25" s="274">
        <v>536.74</v>
      </c>
      <c r="D25" s="278">
        <v>1597.52</v>
      </c>
      <c r="E25" s="340"/>
      <c r="F25" s="277">
        <v>1500</v>
      </c>
      <c r="G25" s="278">
        <v>9871.32</v>
      </c>
      <c r="H25" s="279"/>
      <c r="I25" s="280">
        <v>3500</v>
      </c>
      <c r="J25" s="281"/>
      <c r="K25" s="282">
        <v>8744.82</v>
      </c>
      <c r="L25" s="283"/>
      <c r="M25" s="284">
        <v>10000</v>
      </c>
      <c r="N25" s="282"/>
      <c r="O25" s="285">
        <v>14453</v>
      </c>
      <c r="P25" s="283"/>
      <c r="Q25" s="284">
        <f>4000+7000</f>
        <v>11000</v>
      </c>
      <c r="R25" s="286"/>
      <c r="S25" s="284">
        <v>7216</v>
      </c>
      <c r="T25" s="283"/>
      <c r="U25" s="341">
        <v>8000</v>
      </c>
      <c r="V25" s="282"/>
      <c r="W25" s="287">
        <v>9266.6299999999992</v>
      </c>
      <c r="X25" s="288"/>
      <c r="Y25" s="357">
        <v>10000</v>
      </c>
      <c r="Z25" s="282"/>
      <c r="AA25" s="412"/>
      <c r="AB25" s="282"/>
      <c r="AC25" s="341">
        <f t="shared" ref="AC25:AC30" si="4">Y25+AA25</f>
        <v>10000</v>
      </c>
      <c r="AD25" s="286"/>
      <c r="AE25" s="345">
        <v>11351.61</v>
      </c>
      <c r="AF25" s="288"/>
      <c r="AG25" s="341">
        <v>10000</v>
      </c>
      <c r="AH25" s="282"/>
      <c r="AI25" s="412">
        <v>1500</v>
      </c>
      <c r="AJ25" s="286"/>
      <c r="AK25" s="357">
        <f t="shared" ref="AK25:AK30" si="5">AG25+AI25</f>
        <v>11500</v>
      </c>
      <c r="AL25" s="283"/>
      <c r="AM25" s="345">
        <v>11856.83</v>
      </c>
      <c r="AN25" s="288"/>
      <c r="AO25" s="341">
        <v>8500</v>
      </c>
      <c r="AP25" s="282"/>
      <c r="AQ25" s="412">
        <v>1500</v>
      </c>
      <c r="AR25" s="286"/>
      <c r="AS25" s="284">
        <f t="shared" ref="AS25:AS30" si="6">SUM(AO25:AR25)</f>
        <v>10000</v>
      </c>
      <c r="AT25" s="283"/>
      <c r="AU25" s="345">
        <f>5644.37+424+292.01</f>
        <v>6360.38</v>
      </c>
      <c r="AV25" s="288"/>
      <c r="AW25" s="708">
        <v>6300</v>
      </c>
      <c r="AX25" s="282"/>
      <c r="AY25" s="412">
        <v>1000</v>
      </c>
      <c r="AZ25" s="286"/>
      <c r="BA25" s="284">
        <f t="shared" ref="BA25:BA30" si="7">SUM(AW25:AZ25)</f>
        <v>7300</v>
      </c>
      <c r="BB25" s="283"/>
      <c r="BC25" s="271" t="s">
        <v>128</v>
      </c>
    </row>
    <row r="26" spans="1:57" s="271" customFormat="1" x14ac:dyDescent="0.2">
      <c r="A26" s="272"/>
      <c r="B26" s="273" t="s">
        <v>129</v>
      </c>
      <c r="C26" s="274">
        <v>12688.37</v>
      </c>
      <c r="D26" s="278">
        <v>18177.560000000001</v>
      </c>
      <c r="E26" s="340"/>
      <c r="F26" s="277">
        <v>16000</v>
      </c>
      <c r="G26" s="278">
        <v>15037.48</v>
      </c>
      <c r="H26" s="279"/>
      <c r="I26" s="280">
        <v>14000</v>
      </c>
      <c r="J26" s="281"/>
      <c r="K26" s="282">
        <v>6907.69</v>
      </c>
      <c r="L26" s="283"/>
      <c r="M26" s="284">
        <v>7000</v>
      </c>
      <c r="N26" s="282"/>
      <c r="O26" s="285">
        <v>5187</v>
      </c>
      <c r="P26" s="283"/>
      <c r="Q26" s="284">
        <v>8000</v>
      </c>
      <c r="R26" s="286"/>
      <c r="S26" s="284">
        <v>21036</v>
      </c>
      <c r="T26" s="283"/>
      <c r="U26" s="341">
        <v>20000</v>
      </c>
      <c r="V26" s="282"/>
      <c r="W26" s="287">
        <v>15856.25</v>
      </c>
      <c r="X26" s="288"/>
      <c r="Y26" s="357">
        <v>15000</v>
      </c>
      <c r="Z26" s="282"/>
      <c r="AA26" s="355">
        <v>1800</v>
      </c>
      <c r="AB26" s="282"/>
      <c r="AC26" s="341">
        <f t="shared" si="4"/>
        <v>16800</v>
      </c>
      <c r="AD26" s="286"/>
      <c r="AE26" s="345">
        <v>14067.99</v>
      </c>
      <c r="AF26" s="288"/>
      <c r="AG26" s="341">
        <v>10500</v>
      </c>
      <c r="AH26" s="282"/>
      <c r="AI26" s="355"/>
      <c r="AJ26" s="286"/>
      <c r="AK26" s="357">
        <f t="shared" si="5"/>
        <v>10500</v>
      </c>
      <c r="AL26" s="283"/>
      <c r="AM26" s="345">
        <v>8900.81</v>
      </c>
      <c r="AN26" s="288"/>
      <c r="AO26" s="341">
        <v>9000</v>
      </c>
      <c r="AP26" s="282"/>
      <c r="AQ26" s="355"/>
      <c r="AR26" s="286"/>
      <c r="AS26" s="284">
        <f t="shared" si="6"/>
        <v>9000</v>
      </c>
      <c r="AT26" s="283"/>
      <c r="AU26" s="345">
        <f>7565.07+235.5</f>
        <v>7800.57</v>
      </c>
      <c r="AV26" s="288"/>
      <c r="AW26" s="708">
        <v>12000</v>
      </c>
      <c r="AX26" s="282"/>
      <c r="AY26" s="355"/>
      <c r="AZ26" s="286"/>
      <c r="BA26" s="284">
        <f t="shared" si="7"/>
        <v>12000</v>
      </c>
      <c r="BB26" s="283"/>
      <c r="BC26" s="271" t="s">
        <v>130</v>
      </c>
    </row>
    <row r="27" spans="1:57" s="271" customFormat="1" x14ac:dyDescent="0.2">
      <c r="A27" s="272"/>
      <c r="B27" s="273" t="s">
        <v>131</v>
      </c>
      <c r="C27" s="274">
        <v>30703.23</v>
      </c>
      <c r="D27" s="278">
        <v>35991.279999999999</v>
      </c>
      <c r="E27" s="340"/>
      <c r="F27" s="277">
        <v>30000</v>
      </c>
      <c r="G27" s="278">
        <v>37454.559999999998</v>
      </c>
      <c r="H27" s="279"/>
      <c r="I27" s="280">
        <v>35000</v>
      </c>
      <c r="J27" s="281"/>
      <c r="K27" s="282">
        <v>42052.54</v>
      </c>
      <c r="L27" s="283"/>
      <c r="M27" s="284">
        <v>42000</v>
      </c>
      <c r="N27" s="282"/>
      <c r="O27" s="285">
        <f>14199.96-536</f>
        <v>13663.96</v>
      </c>
      <c r="P27" s="283"/>
      <c r="Q27" s="284">
        <v>27000</v>
      </c>
      <c r="R27" s="286"/>
      <c r="S27" s="284">
        <v>34361</v>
      </c>
      <c r="T27" s="283"/>
      <c r="U27" s="341">
        <v>40000</v>
      </c>
      <c r="V27" s="282"/>
      <c r="W27" s="287">
        <v>49828.94</v>
      </c>
      <c r="X27" s="288"/>
      <c r="Y27" s="357">
        <v>55000</v>
      </c>
      <c r="Z27" s="282"/>
      <c r="AA27" s="355"/>
      <c r="AB27" s="282"/>
      <c r="AC27" s="341">
        <f t="shared" si="4"/>
        <v>55000</v>
      </c>
      <c r="AD27" s="286"/>
      <c r="AE27" s="345">
        <v>44316.47</v>
      </c>
      <c r="AF27" s="288"/>
      <c r="AG27" s="341">
        <v>49500</v>
      </c>
      <c r="AH27" s="282"/>
      <c r="AI27" s="355"/>
      <c r="AJ27" s="286"/>
      <c r="AK27" s="357">
        <f t="shared" si="5"/>
        <v>49500</v>
      </c>
      <c r="AL27" s="283"/>
      <c r="AM27" s="345">
        <v>36946.15</v>
      </c>
      <c r="AN27" s="288"/>
      <c r="AO27" s="341">
        <v>45000</v>
      </c>
      <c r="AP27" s="282"/>
      <c r="AQ27" s="355"/>
      <c r="AR27" s="286"/>
      <c r="AS27" s="284">
        <f t="shared" si="6"/>
        <v>45000</v>
      </c>
      <c r="AT27" s="283"/>
      <c r="AU27" s="345">
        <v>34145.5</v>
      </c>
      <c r="AV27" s="288"/>
      <c r="AW27" s="708">
        <v>48000</v>
      </c>
      <c r="AX27" s="282"/>
      <c r="AY27" s="355"/>
      <c r="AZ27" s="286"/>
      <c r="BA27" s="284">
        <f t="shared" si="7"/>
        <v>48000</v>
      </c>
      <c r="BB27" s="283"/>
      <c r="BC27" s="271" t="s">
        <v>132</v>
      </c>
      <c r="BD27" s="271" t="s">
        <v>133</v>
      </c>
      <c r="BE27" s="271" t="s">
        <v>134</v>
      </c>
    </row>
    <row r="28" spans="1:57" s="271" customFormat="1" x14ac:dyDescent="0.2">
      <c r="A28" s="272"/>
      <c r="B28" s="273" t="s">
        <v>135</v>
      </c>
      <c r="C28" s="274">
        <v>9044.2999999999993</v>
      </c>
      <c r="D28" s="278">
        <v>4510.25</v>
      </c>
      <c r="E28" s="340"/>
      <c r="F28" s="277">
        <v>8000</v>
      </c>
      <c r="G28" s="278">
        <v>6325.96</v>
      </c>
      <c r="H28" s="279"/>
      <c r="I28" s="280">
        <v>6500</v>
      </c>
      <c r="J28" s="281"/>
      <c r="K28" s="282">
        <v>4059.08</v>
      </c>
      <c r="L28" s="283"/>
      <c r="M28" s="284">
        <v>5000</v>
      </c>
      <c r="N28" s="282"/>
      <c r="O28" s="285">
        <v>0</v>
      </c>
      <c r="P28" s="283"/>
      <c r="Q28" s="284">
        <v>5000</v>
      </c>
      <c r="R28" s="286"/>
      <c r="S28" s="284">
        <v>0</v>
      </c>
      <c r="T28" s="283"/>
      <c r="U28" s="341">
        <v>6000</v>
      </c>
      <c r="V28" s="282"/>
      <c r="W28" s="287">
        <v>2855.47</v>
      </c>
      <c r="X28" s="288"/>
      <c r="Y28" s="357">
        <v>4500</v>
      </c>
      <c r="Z28" s="282"/>
      <c r="AA28" s="355"/>
      <c r="AB28" s="282"/>
      <c r="AC28" s="341">
        <f t="shared" si="4"/>
        <v>4500</v>
      </c>
      <c r="AD28" s="286"/>
      <c r="AE28" s="345">
        <v>8075.16</v>
      </c>
      <c r="AF28" s="288"/>
      <c r="AG28" s="341">
        <v>10000</v>
      </c>
      <c r="AH28" s="282"/>
      <c r="AI28" s="355"/>
      <c r="AJ28" s="286"/>
      <c r="AK28" s="357">
        <f t="shared" si="5"/>
        <v>10000</v>
      </c>
      <c r="AL28" s="283"/>
      <c r="AM28" s="345">
        <v>6676.19</v>
      </c>
      <c r="AN28" s="288"/>
      <c r="AO28" s="341">
        <v>8000</v>
      </c>
      <c r="AP28" s="282"/>
      <c r="AQ28" s="355"/>
      <c r="AR28" s="286"/>
      <c r="AS28" s="284">
        <f t="shared" si="6"/>
        <v>8000</v>
      </c>
      <c r="AT28" s="283"/>
      <c r="AU28" s="345">
        <v>9771.3700000000008</v>
      </c>
      <c r="AV28" s="288"/>
      <c r="AW28" s="708">
        <v>10500</v>
      </c>
      <c r="AX28" s="282"/>
      <c r="AY28" s="355"/>
      <c r="AZ28" s="286"/>
      <c r="BA28" s="284">
        <f t="shared" si="7"/>
        <v>10500</v>
      </c>
      <c r="BB28" s="283"/>
      <c r="BC28" s="271" t="s">
        <v>136</v>
      </c>
    </row>
    <row r="29" spans="1:57" s="271" customFormat="1" x14ac:dyDescent="0.2">
      <c r="A29" s="272"/>
      <c r="B29" s="273" t="s">
        <v>137</v>
      </c>
      <c r="C29" s="274">
        <v>6783.19</v>
      </c>
      <c r="D29" s="278">
        <v>17692.330000000002</v>
      </c>
      <c r="E29" s="276"/>
      <c r="F29" s="277">
        <v>17000</v>
      </c>
      <c r="G29" s="278">
        <v>6744.95</v>
      </c>
      <c r="H29" s="413"/>
      <c r="I29" s="280">
        <v>5000</v>
      </c>
      <c r="J29" s="278"/>
      <c r="K29" s="278">
        <f>6469.33+409.33</f>
        <v>6878.66</v>
      </c>
      <c r="L29" s="413"/>
      <c r="M29" s="277">
        <v>8000</v>
      </c>
      <c r="N29" s="278"/>
      <c r="O29" s="280">
        <v>5216</v>
      </c>
      <c r="P29" s="413"/>
      <c r="Q29" s="277">
        <v>6000</v>
      </c>
      <c r="R29" s="414"/>
      <c r="S29" s="284">
        <v>6198</v>
      </c>
      <c r="T29" s="413"/>
      <c r="U29" s="341">
        <v>6000</v>
      </c>
      <c r="V29" s="278"/>
      <c r="W29" s="287">
        <f>5755.3+2381.24+1228.98</f>
        <v>9365.52</v>
      </c>
      <c r="X29" s="415"/>
      <c r="Y29" s="357">
        <v>6000</v>
      </c>
      <c r="Z29" s="278"/>
      <c r="AA29" s="355"/>
      <c r="AB29" s="278"/>
      <c r="AC29" s="341">
        <f t="shared" si="4"/>
        <v>6000</v>
      </c>
      <c r="AD29" s="414"/>
      <c r="AE29" s="416">
        <f>2398.3+260</f>
        <v>2658.3</v>
      </c>
      <c r="AF29" s="415"/>
      <c r="AG29" s="341">
        <v>4000</v>
      </c>
      <c r="AH29" s="278"/>
      <c r="AI29" s="355"/>
      <c r="AJ29" s="414"/>
      <c r="AK29" s="357">
        <f t="shared" si="5"/>
        <v>4000</v>
      </c>
      <c r="AL29" s="413"/>
      <c r="AM29" s="416">
        <f>7863.69+270.19</f>
        <v>8133.8799999999992</v>
      </c>
      <c r="AN29" s="415"/>
      <c r="AO29" s="417">
        <v>9000</v>
      </c>
      <c r="AP29" s="278"/>
      <c r="AQ29" s="355"/>
      <c r="AR29" s="414"/>
      <c r="AS29" s="284">
        <f t="shared" si="6"/>
        <v>9000</v>
      </c>
      <c r="AT29" s="413"/>
      <c r="AU29" s="416">
        <f>2516.42+303.9</f>
        <v>2820.32</v>
      </c>
      <c r="AV29" s="415"/>
      <c r="AW29" s="708">
        <v>3500</v>
      </c>
      <c r="AX29" s="278"/>
      <c r="AY29" s="355"/>
      <c r="AZ29" s="414"/>
      <c r="BA29" s="284">
        <f t="shared" si="7"/>
        <v>3500</v>
      </c>
      <c r="BB29" s="413"/>
      <c r="BC29" s="271" t="s">
        <v>193</v>
      </c>
    </row>
    <row r="30" spans="1:57" s="271" customFormat="1" ht="16.5" thickBot="1" x14ac:dyDescent="0.25">
      <c r="A30" s="418"/>
      <c r="B30" s="419" t="s">
        <v>138</v>
      </c>
      <c r="C30" s="420"/>
      <c r="D30" s="421"/>
      <c r="E30" s="422"/>
      <c r="F30" s="423"/>
      <c r="G30" s="421"/>
      <c r="H30" s="424"/>
      <c r="I30" s="425"/>
      <c r="J30" s="421"/>
      <c r="K30" s="421"/>
      <c r="L30" s="424"/>
      <c r="M30" s="423"/>
      <c r="N30" s="421"/>
      <c r="O30" s="425">
        <v>5000</v>
      </c>
      <c r="P30" s="424"/>
      <c r="Q30" s="423"/>
      <c r="R30" s="426"/>
      <c r="S30" s="284">
        <v>6000</v>
      </c>
      <c r="T30" s="424"/>
      <c r="U30" s="374">
        <v>5000</v>
      </c>
      <c r="V30" s="297"/>
      <c r="W30" s="287">
        <v>4908.41</v>
      </c>
      <c r="X30" s="427"/>
      <c r="Y30" s="373">
        <v>1000</v>
      </c>
      <c r="Z30" s="297"/>
      <c r="AA30" s="371"/>
      <c r="AB30" s="297"/>
      <c r="AC30" s="341">
        <f t="shared" si="4"/>
        <v>1000</v>
      </c>
      <c r="AD30" s="302"/>
      <c r="AE30" s="428"/>
      <c r="AF30" s="303"/>
      <c r="AG30" s="374">
        <v>0</v>
      </c>
      <c r="AH30" s="297"/>
      <c r="AI30" s="371"/>
      <c r="AJ30" s="302"/>
      <c r="AK30" s="357">
        <f t="shared" si="5"/>
        <v>0</v>
      </c>
      <c r="AL30" s="300"/>
      <c r="AM30" s="428">
        <v>0</v>
      </c>
      <c r="AN30" s="303"/>
      <c r="AO30" s="374">
        <v>0</v>
      </c>
      <c r="AP30" s="297"/>
      <c r="AQ30" s="371"/>
      <c r="AR30" s="302"/>
      <c r="AS30" s="284">
        <f t="shared" si="6"/>
        <v>0</v>
      </c>
      <c r="AT30" s="300"/>
      <c r="AU30" s="428">
        <v>3636</v>
      </c>
      <c r="AV30" s="303"/>
      <c r="AW30" s="709">
        <v>8000</v>
      </c>
      <c r="AX30" s="297"/>
      <c r="AY30" s="371"/>
      <c r="AZ30" s="302"/>
      <c r="BA30" s="284">
        <f t="shared" si="7"/>
        <v>8000</v>
      </c>
      <c r="BB30" s="300"/>
      <c r="BC30" s="271" t="s">
        <v>192</v>
      </c>
    </row>
    <row r="31" spans="1:57" s="271" customFormat="1" ht="16.5" thickBot="1" x14ac:dyDescent="0.25">
      <c r="A31" s="313"/>
      <c r="B31" s="314" t="s">
        <v>112</v>
      </c>
      <c r="C31" s="396"/>
      <c r="D31" s="397"/>
      <c r="E31" s="398">
        <f>SUM(D25:D29)</f>
        <v>77968.94</v>
      </c>
      <c r="F31" s="399"/>
      <c r="G31" s="400"/>
      <c r="H31" s="401">
        <f>SUM(G25:G29)</f>
        <v>75434.27</v>
      </c>
      <c r="I31" s="402"/>
      <c r="J31" s="400">
        <f>SUM(I25:I29)</f>
        <v>64000</v>
      </c>
      <c r="K31" s="400"/>
      <c r="L31" s="401">
        <f>SUM(K25:K29)</f>
        <v>68642.790000000008</v>
      </c>
      <c r="M31" s="399"/>
      <c r="N31" s="400">
        <f>SUM(M25:M29)</f>
        <v>72000</v>
      </c>
      <c r="O31" s="402"/>
      <c r="P31" s="401">
        <f>SUM(O25:O30)</f>
        <v>43519.96</v>
      </c>
      <c r="Q31" s="399"/>
      <c r="R31" s="398">
        <f>SUM(Q25:Q29)</f>
        <v>57000</v>
      </c>
      <c r="S31" s="399"/>
      <c r="T31" s="401">
        <f>SUM(S25:S30)</f>
        <v>74811</v>
      </c>
      <c r="U31" s="402"/>
      <c r="V31" s="400">
        <f>SUM(U25:U30)</f>
        <v>85000</v>
      </c>
      <c r="W31" s="403"/>
      <c r="X31" s="404">
        <f>SUM(W25:W30)</f>
        <v>92081.220000000016</v>
      </c>
      <c r="Y31" s="399"/>
      <c r="Z31" s="400">
        <f>SUM(Y25:Y30)</f>
        <v>91500</v>
      </c>
      <c r="AA31" s="400"/>
      <c r="AB31" s="400">
        <f>SUM(AA25:AA30)</f>
        <v>1800</v>
      </c>
      <c r="AC31" s="402"/>
      <c r="AD31" s="398">
        <f>SUM(AC25:AC30)</f>
        <v>93300</v>
      </c>
      <c r="AE31" s="399"/>
      <c r="AF31" s="401">
        <f>SUM(AE25:AE30)</f>
        <v>80469.530000000013</v>
      </c>
      <c r="AG31" s="402"/>
      <c r="AH31" s="400">
        <f>SUM(AG25:AG30)</f>
        <v>84000</v>
      </c>
      <c r="AI31" s="400"/>
      <c r="AJ31" s="398">
        <f>SUM(AI25:AI30)</f>
        <v>1500</v>
      </c>
      <c r="AK31" s="399"/>
      <c r="AL31" s="401">
        <f>SUM(AK25:AK30)</f>
        <v>85500</v>
      </c>
      <c r="AM31" s="399"/>
      <c r="AN31" s="401">
        <f>SUM(AM25:AM30)</f>
        <v>72513.86</v>
      </c>
      <c r="AO31" s="319"/>
      <c r="AP31" s="316">
        <f>SUM(AO25:AO30)</f>
        <v>79500</v>
      </c>
      <c r="AQ31" s="316"/>
      <c r="AR31" s="317">
        <f>SUM(AQ25:AQ30)</f>
        <v>1500</v>
      </c>
      <c r="AS31" s="315"/>
      <c r="AT31" s="318">
        <f>SUM(AS25:AS30)</f>
        <v>81000</v>
      </c>
      <c r="AU31" s="399"/>
      <c r="AV31" s="401">
        <f>SUM(AU25:AU30)</f>
        <v>64534.14</v>
      </c>
      <c r="AW31" s="319"/>
      <c r="AX31" s="316">
        <f>SUM(AW25:AW30)</f>
        <v>88300</v>
      </c>
      <c r="AY31" s="316"/>
      <c r="AZ31" s="317">
        <f>SUM(AY25:AY30)</f>
        <v>1000</v>
      </c>
      <c r="BA31" s="315"/>
      <c r="BB31" s="318">
        <f>SUM(BA25:BA30)</f>
        <v>89300</v>
      </c>
    </row>
    <row r="32" spans="1:57" s="271" customFormat="1" x14ac:dyDescent="0.2">
      <c r="A32" s="322">
        <v>62</v>
      </c>
      <c r="B32" s="429" t="s">
        <v>11</v>
      </c>
      <c r="C32" s="430"/>
      <c r="D32" s="431"/>
      <c r="E32" s="432"/>
      <c r="F32" s="430"/>
      <c r="G32" s="431"/>
      <c r="H32" s="433"/>
      <c r="I32" s="434"/>
      <c r="J32" s="328"/>
      <c r="K32" s="331"/>
      <c r="L32" s="332"/>
      <c r="M32" s="333"/>
      <c r="N32" s="331"/>
      <c r="O32" s="334"/>
      <c r="P32" s="332"/>
      <c r="Q32" s="333"/>
      <c r="R32" s="335"/>
      <c r="S32" s="333"/>
      <c r="T32" s="332"/>
      <c r="U32" s="336"/>
      <c r="V32" s="337"/>
      <c r="W32" s="334"/>
      <c r="X32" s="332"/>
      <c r="Y32" s="270"/>
      <c r="Z32" s="337"/>
      <c r="AA32" s="337"/>
      <c r="AB32" s="337"/>
      <c r="AC32" s="336"/>
      <c r="AD32" s="338"/>
      <c r="AE32" s="270"/>
      <c r="AF32" s="339"/>
      <c r="AG32" s="336"/>
      <c r="AH32" s="337"/>
      <c r="AI32" s="337"/>
      <c r="AJ32" s="338"/>
      <c r="AK32" s="270"/>
      <c r="AL32" s="339"/>
      <c r="AM32" s="270"/>
      <c r="AN32" s="339"/>
      <c r="AO32" s="336"/>
      <c r="AP32" s="337"/>
      <c r="AQ32" s="337"/>
      <c r="AR32" s="338"/>
      <c r="AS32" s="270"/>
      <c r="AT32" s="339"/>
      <c r="AU32" s="270"/>
      <c r="AV32" s="339"/>
      <c r="AW32" s="336"/>
      <c r="AX32" s="337"/>
      <c r="AY32" s="337"/>
      <c r="AZ32" s="338"/>
      <c r="BA32" s="270"/>
      <c r="BB32" s="339"/>
    </row>
    <row r="33" spans="1:54" s="271" customFormat="1" x14ac:dyDescent="0.2">
      <c r="A33" s="272"/>
      <c r="B33" s="273" t="s">
        <v>139</v>
      </c>
      <c r="C33" s="274">
        <v>1332.77</v>
      </c>
      <c r="D33" s="278">
        <v>1174.74</v>
      </c>
      <c r="E33" s="340"/>
      <c r="F33" s="277">
        <v>1350</v>
      </c>
      <c r="G33" s="278">
        <v>1208.44</v>
      </c>
      <c r="H33" s="279"/>
      <c r="I33" s="280">
        <v>1250</v>
      </c>
      <c r="J33" s="281"/>
      <c r="K33" s="282">
        <v>1188.69</v>
      </c>
      <c r="L33" s="283"/>
      <c r="M33" s="284">
        <v>1250</v>
      </c>
      <c r="N33" s="282"/>
      <c r="O33" s="285">
        <v>1197.94</v>
      </c>
      <c r="P33" s="283"/>
      <c r="Q33" s="284">
        <v>1250</v>
      </c>
      <c r="R33" s="286"/>
      <c r="S33" s="284">
        <v>1139</v>
      </c>
      <c r="T33" s="283"/>
      <c r="U33" s="341">
        <v>1200</v>
      </c>
      <c r="V33" s="282"/>
      <c r="W33" s="287">
        <v>1112.52</v>
      </c>
      <c r="X33" s="288"/>
      <c r="Y33" s="357">
        <v>1300</v>
      </c>
      <c r="Z33" s="282"/>
      <c r="AA33" s="355"/>
      <c r="AB33" s="282"/>
      <c r="AC33" s="341">
        <f>Y33+AA33</f>
        <v>1300</v>
      </c>
      <c r="AD33" s="286"/>
      <c r="AE33" s="345">
        <v>1214.68</v>
      </c>
      <c r="AF33" s="288"/>
      <c r="AG33" s="341">
        <v>1000</v>
      </c>
      <c r="AH33" s="282"/>
      <c r="AI33" s="355">
        <v>500</v>
      </c>
      <c r="AJ33" s="286"/>
      <c r="AK33" s="357">
        <f>AG33+AI33</f>
        <v>1500</v>
      </c>
      <c r="AL33" s="283"/>
      <c r="AM33" s="345">
        <v>1661.59</v>
      </c>
      <c r="AN33" s="288"/>
      <c r="AO33" s="341">
        <v>1500</v>
      </c>
      <c r="AP33" s="282"/>
      <c r="AQ33" s="355">
        <v>500</v>
      </c>
      <c r="AR33" s="286"/>
      <c r="AS33" s="284">
        <f>SUM(AO33:AR33)</f>
        <v>2000</v>
      </c>
      <c r="AT33" s="283"/>
      <c r="AU33" s="345">
        <v>1693.49</v>
      </c>
      <c r="AV33" s="288"/>
      <c r="AW33" s="341">
        <v>2000</v>
      </c>
      <c r="AX33" s="282"/>
      <c r="AY33" s="355">
        <v>500</v>
      </c>
      <c r="AZ33" s="286"/>
      <c r="BA33" s="284">
        <f>SUM(AW33:AZ33)</f>
        <v>2500</v>
      </c>
      <c r="BB33" s="283"/>
    </row>
    <row r="34" spans="1:54" s="271" customFormat="1" x14ac:dyDescent="0.2">
      <c r="A34" s="272"/>
      <c r="B34" s="273" t="s">
        <v>140</v>
      </c>
      <c r="C34" s="274">
        <v>124.88</v>
      </c>
      <c r="D34" s="278">
        <v>0</v>
      </c>
      <c r="E34" s="340"/>
      <c r="F34" s="277">
        <v>150</v>
      </c>
      <c r="G34" s="278">
        <v>476.44</v>
      </c>
      <c r="H34" s="279"/>
      <c r="I34" s="280">
        <v>350</v>
      </c>
      <c r="J34" s="281"/>
      <c r="K34" s="282">
        <v>268.97000000000003</v>
      </c>
      <c r="L34" s="283"/>
      <c r="M34" s="284">
        <v>300</v>
      </c>
      <c r="N34" s="282"/>
      <c r="O34" s="285">
        <v>163.85</v>
      </c>
      <c r="P34" s="283"/>
      <c r="Q34" s="284">
        <v>300</v>
      </c>
      <c r="R34" s="286"/>
      <c r="S34" s="284">
        <v>55</v>
      </c>
      <c r="T34" s="283"/>
      <c r="U34" s="341">
        <v>100</v>
      </c>
      <c r="V34" s="282"/>
      <c r="W34" s="287">
        <f>170.74+119.88</f>
        <v>290.62</v>
      </c>
      <c r="X34" s="288"/>
      <c r="Y34" s="357">
        <v>300</v>
      </c>
      <c r="Z34" s="282"/>
      <c r="AA34" s="355"/>
      <c r="AB34" s="282"/>
      <c r="AC34" s="341">
        <f>Y34+AA34</f>
        <v>300</v>
      </c>
      <c r="AD34" s="286"/>
      <c r="AE34" s="345">
        <f>17.58+377.91</f>
        <v>395.49</v>
      </c>
      <c r="AF34" s="288"/>
      <c r="AG34" s="341">
        <v>400</v>
      </c>
      <c r="AH34" s="282"/>
      <c r="AI34" s="355"/>
      <c r="AJ34" s="286"/>
      <c r="AK34" s="357">
        <f>AG34+AI34</f>
        <v>400</v>
      </c>
      <c r="AL34" s="283"/>
      <c r="AM34" s="345">
        <f>70.21+510.94</f>
        <v>581.15</v>
      </c>
      <c r="AN34" s="288"/>
      <c r="AO34" s="341">
        <v>100</v>
      </c>
      <c r="AP34" s="282"/>
      <c r="AQ34" s="355"/>
      <c r="AR34" s="286"/>
      <c r="AS34" s="284">
        <f>SUM(AO34:AR34)</f>
        <v>100</v>
      </c>
      <c r="AT34" s="283"/>
      <c r="AU34" s="345">
        <v>96.95</v>
      </c>
      <c r="AV34" s="288"/>
      <c r="AW34" s="341">
        <v>100</v>
      </c>
      <c r="AX34" s="282"/>
      <c r="AY34" s="355"/>
      <c r="AZ34" s="286"/>
      <c r="BA34" s="284">
        <f>SUM(AW34:AZ34)</f>
        <v>100</v>
      </c>
      <c r="BB34" s="283"/>
    </row>
    <row r="35" spans="1:54" s="271" customFormat="1" ht="16.5" thickBot="1" x14ac:dyDescent="0.25">
      <c r="A35" s="384"/>
      <c r="B35" s="385" t="s">
        <v>141</v>
      </c>
      <c r="C35" s="386">
        <v>289.45999999999998</v>
      </c>
      <c r="D35" s="305">
        <v>145.6</v>
      </c>
      <c r="E35" s="387"/>
      <c r="F35" s="304">
        <v>300</v>
      </c>
      <c r="G35" s="305">
        <v>344.02</v>
      </c>
      <c r="H35" s="312"/>
      <c r="I35" s="310">
        <v>400</v>
      </c>
      <c r="J35" s="305"/>
      <c r="K35" s="305">
        <v>1479.83</v>
      </c>
      <c r="L35" s="312"/>
      <c r="M35" s="304">
        <v>1400</v>
      </c>
      <c r="N35" s="305"/>
      <c r="O35" s="310">
        <v>679</v>
      </c>
      <c r="P35" s="312"/>
      <c r="Q35" s="304">
        <v>2000</v>
      </c>
      <c r="R35" s="307"/>
      <c r="S35" s="284">
        <v>1126</v>
      </c>
      <c r="T35" s="312"/>
      <c r="U35" s="435">
        <v>1500</v>
      </c>
      <c r="V35" s="305"/>
      <c r="W35" s="287">
        <v>871.44</v>
      </c>
      <c r="X35" s="389"/>
      <c r="Y35" s="436">
        <v>2900</v>
      </c>
      <c r="Z35" s="305"/>
      <c r="AA35" s="437"/>
      <c r="AB35" s="305"/>
      <c r="AC35" s="435">
        <f>Y35+AA35</f>
        <v>2900</v>
      </c>
      <c r="AD35" s="307"/>
      <c r="AE35" s="393">
        <v>1770.2</v>
      </c>
      <c r="AF35" s="389"/>
      <c r="AG35" s="435">
        <v>1500</v>
      </c>
      <c r="AH35" s="305"/>
      <c r="AI35" s="437">
        <v>500</v>
      </c>
      <c r="AJ35" s="307"/>
      <c r="AK35" s="436">
        <f>AG35+AI35</f>
        <v>2000</v>
      </c>
      <c r="AL35" s="312"/>
      <c r="AM35" s="393">
        <v>2854.55</v>
      </c>
      <c r="AN35" s="389"/>
      <c r="AO35" s="438">
        <v>2500</v>
      </c>
      <c r="AP35" s="305"/>
      <c r="AQ35" s="437">
        <v>500</v>
      </c>
      <c r="AR35" s="307"/>
      <c r="AS35" s="284">
        <f>SUM(AO35:AR35)</f>
        <v>3000</v>
      </c>
      <c r="AT35" s="312"/>
      <c r="AU35" s="393">
        <v>3473.83</v>
      </c>
      <c r="AV35" s="389"/>
      <c r="AW35" s="438">
        <v>3500</v>
      </c>
      <c r="AX35" s="305"/>
      <c r="AY35" s="437"/>
      <c r="AZ35" s="307"/>
      <c r="BA35" s="284">
        <f>SUM(AW35:AZ35)</f>
        <v>3500</v>
      </c>
      <c r="BB35" s="312"/>
    </row>
    <row r="36" spans="1:54" s="271" customFormat="1" ht="16.5" thickBot="1" x14ac:dyDescent="0.25">
      <c r="A36" s="313"/>
      <c r="B36" s="439" t="s">
        <v>112</v>
      </c>
      <c r="C36" s="396"/>
      <c r="D36" s="397"/>
      <c r="E36" s="398">
        <f>SUM(D33:D35)</f>
        <v>1320.34</v>
      </c>
      <c r="F36" s="399"/>
      <c r="G36" s="400"/>
      <c r="H36" s="401">
        <f>SUM(G33:G35)</f>
        <v>2028.9</v>
      </c>
      <c r="I36" s="402"/>
      <c r="J36" s="400">
        <f>SUM(I33:I35)</f>
        <v>2000</v>
      </c>
      <c r="K36" s="400"/>
      <c r="L36" s="401">
        <f>SUM(K33:K35)</f>
        <v>2937.49</v>
      </c>
      <c r="M36" s="399"/>
      <c r="N36" s="400">
        <f>SUM(M33:M35)</f>
        <v>2950</v>
      </c>
      <c r="O36" s="402"/>
      <c r="P36" s="401">
        <f>SUM(O33:O35)</f>
        <v>2040.79</v>
      </c>
      <c r="Q36" s="399"/>
      <c r="R36" s="398">
        <f>SUM(Q33:Q35)</f>
        <v>3550</v>
      </c>
      <c r="S36" s="399"/>
      <c r="T36" s="401">
        <f>SUM(S33:S35)</f>
        <v>2320</v>
      </c>
      <c r="U36" s="402"/>
      <c r="V36" s="400">
        <f>SUM(U33:U35)</f>
        <v>2800</v>
      </c>
      <c r="W36" s="403"/>
      <c r="X36" s="404">
        <f>SUM(W33:W35)</f>
        <v>2274.58</v>
      </c>
      <c r="Y36" s="399"/>
      <c r="Z36" s="400">
        <f>SUM(Y33:Y35)</f>
        <v>4500</v>
      </c>
      <c r="AA36" s="400"/>
      <c r="AB36" s="400">
        <f>SUM(AA33:AA35)</f>
        <v>0</v>
      </c>
      <c r="AC36" s="402"/>
      <c r="AD36" s="398">
        <f>SUM(AC33:AC35)</f>
        <v>4500</v>
      </c>
      <c r="AE36" s="315"/>
      <c r="AF36" s="669">
        <f>SUM(AE33:AE35)</f>
        <v>3380.37</v>
      </c>
      <c r="AG36" s="402"/>
      <c r="AH36" s="400">
        <f>SUM(AG33:AG35)</f>
        <v>2900</v>
      </c>
      <c r="AI36" s="400"/>
      <c r="AJ36" s="398">
        <f>SUM(AI33:AI35)</f>
        <v>1000</v>
      </c>
      <c r="AK36" s="399"/>
      <c r="AL36" s="401">
        <f>SUM(AK33:AK35)</f>
        <v>3900</v>
      </c>
      <c r="AM36" s="315"/>
      <c r="AN36" s="669">
        <f>SUM(AM33:AM35)</f>
        <v>5097.29</v>
      </c>
      <c r="AO36" s="319"/>
      <c r="AP36" s="316">
        <f>SUM(AO33:AO35)</f>
        <v>4100</v>
      </c>
      <c r="AQ36" s="316"/>
      <c r="AR36" s="317">
        <f>SUM(AQ33:AQ35)</f>
        <v>1000</v>
      </c>
      <c r="AS36" s="315"/>
      <c r="AT36" s="318">
        <f>SUM(AS33:AS35)</f>
        <v>5100</v>
      </c>
      <c r="AU36" s="315"/>
      <c r="AV36" s="669">
        <f>SUM(AU33:AU35)</f>
        <v>5264.27</v>
      </c>
      <c r="AW36" s="319"/>
      <c r="AX36" s="316">
        <f>SUM(AW33:AW35)</f>
        <v>5600</v>
      </c>
      <c r="AY36" s="316"/>
      <c r="AZ36" s="317">
        <f>SUM(AY33:AY35)</f>
        <v>500</v>
      </c>
      <c r="BA36" s="315"/>
      <c r="BB36" s="318">
        <f>SUM(BA33:BA35)</f>
        <v>6100</v>
      </c>
    </row>
    <row r="37" spans="1:54" s="271" customFormat="1" x14ac:dyDescent="0.2">
      <c r="A37" s="263">
        <v>62</v>
      </c>
      <c r="B37" s="405" t="s">
        <v>11</v>
      </c>
      <c r="C37" s="406"/>
      <c r="D37" s="407"/>
      <c r="E37" s="408"/>
      <c r="F37" s="406"/>
      <c r="G37" s="407"/>
      <c r="H37" s="409"/>
      <c r="I37" s="410"/>
      <c r="J37" s="411"/>
      <c r="K37" s="337"/>
      <c r="L37" s="339"/>
      <c r="M37" s="270"/>
      <c r="N37" s="337"/>
      <c r="O37" s="336"/>
      <c r="P37" s="339"/>
      <c r="Q37" s="270"/>
      <c r="R37" s="338"/>
      <c r="S37" s="270"/>
      <c r="T37" s="339"/>
      <c r="U37" s="336"/>
      <c r="V37" s="337"/>
      <c r="W37" s="336"/>
      <c r="X37" s="339"/>
      <c r="Y37" s="270"/>
      <c r="Z37" s="337"/>
      <c r="AA37" s="337"/>
      <c r="AB37" s="337"/>
      <c r="AC37" s="336"/>
      <c r="AD37" s="338"/>
      <c r="AE37" s="270"/>
      <c r="AF37" s="339"/>
      <c r="AG37" s="336"/>
      <c r="AH37" s="337"/>
      <c r="AI37" s="337"/>
      <c r="AJ37" s="338"/>
      <c r="AK37" s="270"/>
      <c r="AL37" s="339"/>
      <c r="AM37" s="270"/>
      <c r="AN37" s="339"/>
      <c r="AO37" s="336"/>
      <c r="AP37" s="337"/>
      <c r="AQ37" s="337"/>
      <c r="AR37" s="338"/>
      <c r="AS37" s="270"/>
      <c r="AT37" s="339"/>
      <c r="AU37" s="270"/>
      <c r="AV37" s="339"/>
      <c r="AW37" s="336"/>
      <c r="AX37" s="337"/>
      <c r="AY37" s="337"/>
      <c r="AZ37" s="338"/>
      <c r="BA37" s="270"/>
      <c r="BB37" s="339"/>
    </row>
    <row r="38" spans="1:54" s="271" customFormat="1" x14ac:dyDescent="0.2">
      <c r="A38" s="272"/>
      <c r="B38" s="273" t="s">
        <v>142</v>
      </c>
      <c r="C38" s="274">
        <v>1055.01</v>
      </c>
      <c r="D38" s="278">
        <v>1231.5</v>
      </c>
      <c r="E38" s="340"/>
      <c r="F38" s="277">
        <v>1300</v>
      </c>
      <c r="G38" s="278">
        <v>1542.62</v>
      </c>
      <c r="H38" s="279"/>
      <c r="I38" s="280">
        <v>1200</v>
      </c>
      <c r="J38" s="281"/>
      <c r="K38" s="282">
        <v>1317.21</v>
      </c>
      <c r="L38" s="283"/>
      <c r="M38" s="284">
        <v>1400</v>
      </c>
      <c r="N38" s="282"/>
      <c r="O38" s="292">
        <f>1668.55-38.29</f>
        <v>1630.26</v>
      </c>
      <c r="P38" s="440"/>
      <c r="Q38" s="441">
        <v>2000</v>
      </c>
      <c r="R38" s="343"/>
      <c r="S38" s="441">
        <v>1451</v>
      </c>
      <c r="T38" s="440"/>
      <c r="U38" s="341">
        <v>1500</v>
      </c>
      <c r="V38" s="282"/>
      <c r="W38" s="287">
        <v>1672.73</v>
      </c>
      <c r="X38" s="288"/>
      <c r="Y38" s="357">
        <v>1700</v>
      </c>
      <c r="Z38" s="282"/>
      <c r="AA38" s="282">
        <v>650</v>
      </c>
      <c r="AB38" s="282"/>
      <c r="AC38" s="442">
        <f t="shared" ref="AC38:AC44" si="8">Y38+AA38</f>
        <v>2350</v>
      </c>
      <c r="AD38" s="286"/>
      <c r="AE38" s="345">
        <v>1875.08</v>
      </c>
      <c r="AF38" s="288"/>
      <c r="AG38" s="341">
        <v>2500</v>
      </c>
      <c r="AH38" s="282"/>
      <c r="AI38" s="282"/>
      <c r="AJ38" s="286"/>
      <c r="AK38" s="443">
        <f t="shared" ref="AK38:AK44" si="9">AG38+AI38</f>
        <v>2500</v>
      </c>
      <c r="AL38" s="283"/>
      <c r="AM38" s="345">
        <v>2249.0700000000002</v>
      </c>
      <c r="AN38" s="288"/>
      <c r="AO38" s="341">
        <v>2000</v>
      </c>
      <c r="AP38" s="282"/>
      <c r="AQ38" s="282"/>
      <c r="AR38" s="286"/>
      <c r="AS38" s="284">
        <f t="shared" ref="AS38:AS44" si="10">SUM(AO38:AR38)</f>
        <v>2000</v>
      </c>
      <c r="AT38" s="283"/>
      <c r="AU38" s="345">
        <f>2073.43+601.2</f>
        <v>2674.63</v>
      </c>
      <c r="AV38" s="288"/>
      <c r="AW38" s="341">
        <v>2500</v>
      </c>
      <c r="AX38" s="282"/>
      <c r="AY38" s="282"/>
      <c r="AZ38" s="286"/>
      <c r="BA38" s="284">
        <f t="shared" ref="BA38:BA44" si="11">SUM(AW38:AZ38)</f>
        <v>2500</v>
      </c>
      <c r="BB38" s="283"/>
    </row>
    <row r="39" spans="1:54" s="271" customFormat="1" x14ac:dyDescent="0.2">
      <c r="A39" s="272"/>
      <c r="B39" s="273" t="s">
        <v>6</v>
      </c>
      <c r="C39" s="274">
        <v>2092.75</v>
      </c>
      <c r="D39" s="278">
        <v>100</v>
      </c>
      <c r="E39" s="340"/>
      <c r="F39" s="277">
        <v>1000</v>
      </c>
      <c r="G39" s="278">
        <v>150</v>
      </c>
      <c r="H39" s="279"/>
      <c r="I39" s="280">
        <v>150</v>
      </c>
      <c r="J39" s="281"/>
      <c r="K39" s="282">
        <v>340</v>
      </c>
      <c r="L39" s="283"/>
      <c r="M39" s="284">
        <v>400</v>
      </c>
      <c r="N39" s="282"/>
      <c r="O39" s="292">
        <v>343.2</v>
      </c>
      <c r="P39" s="440"/>
      <c r="Q39" s="441">
        <v>400</v>
      </c>
      <c r="R39" s="343"/>
      <c r="S39" s="441">
        <v>120</v>
      </c>
      <c r="T39" s="440"/>
      <c r="U39" s="341">
        <v>200</v>
      </c>
      <c r="V39" s="282"/>
      <c r="W39" s="287">
        <v>140</v>
      </c>
      <c r="X39" s="288"/>
      <c r="Y39" s="357">
        <v>200</v>
      </c>
      <c r="Z39" s="282"/>
      <c r="AA39" s="282"/>
      <c r="AB39" s="282"/>
      <c r="AC39" s="442">
        <f t="shared" si="8"/>
        <v>200</v>
      </c>
      <c r="AD39" s="286"/>
      <c r="AE39" s="345">
        <v>20</v>
      </c>
      <c r="AF39" s="288"/>
      <c r="AG39" s="341">
        <v>200</v>
      </c>
      <c r="AH39" s="282"/>
      <c r="AI39" s="282"/>
      <c r="AJ39" s="286"/>
      <c r="AK39" s="443">
        <f t="shared" si="9"/>
        <v>200</v>
      </c>
      <c r="AL39" s="283"/>
      <c r="AM39" s="345">
        <v>125</v>
      </c>
      <c r="AN39" s="288"/>
      <c r="AO39" s="341">
        <v>200</v>
      </c>
      <c r="AP39" s="282"/>
      <c r="AQ39" s="282"/>
      <c r="AR39" s="286"/>
      <c r="AS39" s="284">
        <f t="shared" si="10"/>
        <v>200</v>
      </c>
      <c r="AT39" s="283"/>
      <c r="AU39" s="345">
        <v>20</v>
      </c>
      <c r="AV39" s="288"/>
      <c r="AW39" s="341">
        <v>50</v>
      </c>
      <c r="AX39" s="282"/>
      <c r="AY39" s="282"/>
      <c r="AZ39" s="286"/>
      <c r="BA39" s="284">
        <f t="shared" si="11"/>
        <v>50</v>
      </c>
      <c r="BB39" s="283"/>
    </row>
    <row r="40" spans="1:54" s="271" customFormat="1" x14ac:dyDescent="0.2">
      <c r="A40" s="272"/>
      <c r="B40" s="273" t="s">
        <v>143</v>
      </c>
      <c r="C40" s="274">
        <v>25767.119999999999</v>
      </c>
      <c r="D40" s="278">
        <v>30835.75</v>
      </c>
      <c r="E40" s="340"/>
      <c r="F40" s="277">
        <v>31500</v>
      </c>
      <c r="G40" s="278">
        <v>27430.75</v>
      </c>
      <c r="H40" s="279"/>
      <c r="I40" s="280">
        <v>28350</v>
      </c>
      <c r="J40" s="281"/>
      <c r="K40" s="282">
        <v>31114.5</v>
      </c>
      <c r="L40" s="283"/>
      <c r="M40" s="284">
        <v>32000</v>
      </c>
      <c r="N40" s="282"/>
      <c r="O40" s="292">
        <v>25345.25</v>
      </c>
      <c r="P40" s="440"/>
      <c r="Q40" s="441">
        <v>28000</v>
      </c>
      <c r="R40" s="343"/>
      <c r="S40" s="441">
        <v>28757</v>
      </c>
      <c r="T40" s="440"/>
      <c r="U40" s="341">
        <v>30000</v>
      </c>
      <c r="V40" s="282"/>
      <c r="W40" s="287">
        <v>30163.25</v>
      </c>
      <c r="X40" s="288"/>
      <c r="Y40" s="357">
        <v>33000</v>
      </c>
      <c r="Z40" s="282"/>
      <c r="AA40" s="282"/>
      <c r="AB40" s="282"/>
      <c r="AC40" s="442">
        <f t="shared" si="8"/>
        <v>33000</v>
      </c>
      <c r="AD40" s="286"/>
      <c r="AE40" s="345">
        <v>32003</v>
      </c>
      <c r="AF40" s="288"/>
      <c r="AG40" s="341">
        <v>32000</v>
      </c>
      <c r="AH40" s="282"/>
      <c r="AI40" s="282"/>
      <c r="AJ40" s="286"/>
      <c r="AK40" s="443">
        <f t="shared" si="9"/>
        <v>32000</v>
      </c>
      <c r="AL40" s="283"/>
      <c r="AM40" s="345">
        <v>33637</v>
      </c>
      <c r="AN40" s="288"/>
      <c r="AO40" s="341">
        <v>36000</v>
      </c>
      <c r="AP40" s="282"/>
      <c r="AQ40" s="282"/>
      <c r="AR40" s="286"/>
      <c r="AS40" s="284">
        <f t="shared" si="10"/>
        <v>36000</v>
      </c>
      <c r="AT40" s="283"/>
      <c r="AU40" s="345">
        <v>32928</v>
      </c>
      <c r="AV40" s="288"/>
      <c r="AW40" s="341">
        <v>34000</v>
      </c>
      <c r="AX40" s="282"/>
      <c r="AY40" s="282"/>
      <c r="AZ40" s="286"/>
      <c r="BA40" s="284">
        <f t="shared" si="11"/>
        <v>34000</v>
      </c>
      <c r="BB40" s="283"/>
    </row>
    <row r="41" spans="1:54" s="271" customFormat="1" x14ac:dyDescent="0.2">
      <c r="A41" s="272"/>
      <c r="B41" s="273" t="s">
        <v>144</v>
      </c>
      <c r="C41" s="274">
        <v>5574.56</v>
      </c>
      <c r="D41" s="278">
        <v>5570.75</v>
      </c>
      <c r="E41" s="340"/>
      <c r="F41" s="277">
        <v>5700</v>
      </c>
      <c r="G41" s="278">
        <v>5785.75</v>
      </c>
      <c r="H41" s="279"/>
      <c r="I41" s="280">
        <v>6300</v>
      </c>
      <c r="J41" s="281"/>
      <c r="K41" s="282">
        <v>6138.75</v>
      </c>
      <c r="L41" s="283"/>
      <c r="M41" s="284">
        <v>6500</v>
      </c>
      <c r="N41" s="282"/>
      <c r="O41" s="292">
        <v>5254.25</v>
      </c>
      <c r="P41" s="440"/>
      <c r="Q41" s="441">
        <v>5500</v>
      </c>
      <c r="R41" s="343"/>
      <c r="S41" s="441">
        <v>6694</v>
      </c>
      <c r="T41" s="440"/>
      <c r="U41" s="444">
        <v>7000</v>
      </c>
      <c r="V41" s="282"/>
      <c r="W41" s="287">
        <v>7189.25</v>
      </c>
      <c r="X41" s="288"/>
      <c r="Y41" s="357">
        <v>7300</v>
      </c>
      <c r="Z41" s="282"/>
      <c r="AA41" s="282"/>
      <c r="AB41" s="282"/>
      <c r="AC41" s="442">
        <f t="shared" si="8"/>
        <v>7300</v>
      </c>
      <c r="AD41" s="286"/>
      <c r="AE41" s="345">
        <v>7867</v>
      </c>
      <c r="AF41" s="288"/>
      <c r="AG41" s="341">
        <v>8300</v>
      </c>
      <c r="AH41" s="282"/>
      <c r="AI41" s="282"/>
      <c r="AJ41" s="286"/>
      <c r="AK41" s="443">
        <f t="shared" si="9"/>
        <v>8300</v>
      </c>
      <c r="AL41" s="283"/>
      <c r="AM41" s="345">
        <v>7519.5</v>
      </c>
      <c r="AN41" s="288"/>
      <c r="AO41" s="341">
        <v>8300</v>
      </c>
      <c r="AP41" s="282"/>
      <c r="AQ41" s="282"/>
      <c r="AR41" s="286"/>
      <c r="AS41" s="284">
        <f t="shared" si="10"/>
        <v>8300</v>
      </c>
      <c r="AT41" s="283"/>
      <c r="AU41" s="345">
        <v>7818</v>
      </c>
      <c r="AV41" s="288"/>
      <c r="AW41" s="341">
        <v>8000</v>
      </c>
      <c r="AX41" s="282"/>
      <c r="AY41" s="282"/>
      <c r="AZ41" s="286"/>
      <c r="BA41" s="284">
        <f t="shared" si="11"/>
        <v>8000</v>
      </c>
      <c r="BB41" s="283"/>
    </row>
    <row r="42" spans="1:54" s="271" customFormat="1" x14ac:dyDescent="0.2">
      <c r="A42" s="272"/>
      <c r="B42" s="273" t="s">
        <v>145</v>
      </c>
      <c r="C42" s="274">
        <v>1038.8399999999999</v>
      </c>
      <c r="D42" s="278">
        <v>0</v>
      </c>
      <c r="E42" s="340"/>
      <c r="F42" s="277">
        <v>0</v>
      </c>
      <c r="G42" s="281"/>
      <c r="H42" s="279"/>
      <c r="I42" s="280">
        <v>0</v>
      </c>
      <c r="J42" s="281"/>
      <c r="K42" s="282">
        <v>0</v>
      </c>
      <c r="L42" s="283"/>
      <c r="M42" s="284">
        <v>0</v>
      </c>
      <c r="N42" s="282"/>
      <c r="O42" s="292">
        <v>0</v>
      </c>
      <c r="P42" s="440"/>
      <c r="Q42" s="441">
        <v>0</v>
      </c>
      <c r="R42" s="343"/>
      <c r="S42" s="441">
        <v>0</v>
      </c>
      <c r="T42" s="440"/>
      <c r="U42" s="285">
        <v>0</v>
      </c>
      <c r="V42" s="282"/>
      <c r="W42" s="287">
        <v>0</v>
      </c>
      <c r="X42" s="288"/>
      <c r="Y42" s="284">
        <v>0</v>
      </c>
      <c r="Z42" s="282"/>
      <c r="AA42" s="282"/>
      <c r="AB42" s="282"/>
      <c r="AC42" s="442">
        <f t="shared" si="8"/>
        <v>0</v>
      </c>
      <c r="AD42" s="286"/>
      <c r="AE42" s="345">
        <v>0</v>
      </c>
      <c r="AF42" s="288"/>
      <c r="AG42" s="285">
        <v>0</v>
      </c>
      <c r="AH42" s="282"/>
      <c r="AI42" s="282"/>
      <c r="AJ42" s="286"/>
      <c r="AK42" s="443">
        <f t="shared" si="9"/>
        <v>0</v>
      </c>
      <c r="AL42" s="283"/>
      <c r="AM42" s="345">
        <v>0</v>
      </c>
      <c r="AN42" s="288"/>
      <c r="AO42" s="285">
        <v>0</v>
      </c>
      <c r="AP42" s="282"/>
      <c r="AQ42" s="282"/>
      <c r="AR42" s="286"/>
      <c r="AS42" s="284">
        <f t="shared" si="10"/>
        <v>0</v>
      </c>
      <c r="AT42" s="283"/>
      <c r="AU42" s="345">
        <v>0</v>
      </c>
      <c r="AV42" s="288"/>
      <c r="AW42" s="285">
        <v>0</v>
      </c>
      <c r="AX42" s="282"/>
      <c r="AY42" s="282"/>
      <c r="AZ42" s="286"/>
      <c r="BA42" s="284">
        <f t="shared" si="11"/>
        <v>0</v>
      </c>
      <c r="BB42" s="283"/>
    </row>
    <row r="43" spans="1:54" s="271" customFormat="1" x14ac:dyDescent="0.2">
      <c r="A43" s="272"/>
      <c r="B43" s="273" t="s">
        <v>146</v>
      </c>
      <c r="C43" s="274">
        <v>8723.4</v>
      </c>
      <c r="D43" s="278">
        <v>10342.75</v>
      </c>
      <c r="E43" s="340"/>
      <c r="F43" s="277">
        <v>11500</v>
      </c>
      <c r="G43" s="278">
        <v>9925</v>
      </c>
      <c r="H43" s="279"/>
      <c r="I43" s="280">
        <v>10850</v>
      </c>
      <c r="J43" s="281"/>
      <c r="K43" s="282">
        <v>535.5</v>
      </c>
      <c r="L43" s="283"/>
      <c r="M43" s="284">
        <v>0</v>
      </c>
      <c r="N43" s="282"/>
      <c r="O43" s="292">
        <v>0</v>
      </c>
      <c r="P43" s="440"/>
      <c r="Q43" s="441">
        <v>0</v>
      </c>
      <c r="R43" s="343"/>
      <c r="S43" s="441">
        <v>0</v>
      </c>
      <c r="T43" s="440"/>
      <c r="U43" s="285">
        <v>0</v>
      </c>
      <c r="V43" s="282"/>
      <c r="W43" s="287">
        <v>0</v>
      </c>
      <c r="X43" s="288"/>
      <c r="Y43" s="284">
        <v>0</v>
      </c>
      <c r="Z43" s="282"/>
      <c r="AA43" s="282"/>
      <c r="AB43" s="282"/>
      <c r="AC43" s="442">
        <f t="shared" si="8"/>
        <v>0</v>
      </c>
      <c r="AD43" s="286"/>
      <c r="AE43" s="345">
        <v>0</v>
      </c>
      <c r="AF43" s="288"/>
      <c r="AG43" s="285">
        <v>0</v>
      </c>
      <c r="AH43" s="282"/>
      <c r="AI43" s="282"/>
      <c r="AJ43" s="286"/>
      <c r="AK43" s="443">
        <f t="shared" si="9"/>
        <v>0</v>
      </c>
      <c r="AL43" s="283"/>
      <c r="AM43" s="345">
        <v>0</v>
      </c>
      <c r="AN43" s="288"/>
      <c r="AO43" s="285">
        <v>0</v>
      </c>
      <c r="AP43" s="282"/>
      <c r="AQ43" s="282"/>
      <c r="AR43" s="286"/>
      <c r="AS43" s="284">
        <f t="shared" si="10"/>
        <v>0</v>
      </c>
      <c r="AT43" s="283"/>
      <c r="AU43" s="345">
        <v>0</v>
      </c>
      <c r="AV43" s="288"/>
      <c r="AW43" s="285">
        <v>0</v>
      </c>
      <c r="AX43" s="282"/>
      <c r="AY43" s="282"/>
      <c r="AZ43" s="286"/>
      <c r="BA43" s="284">
        <f t="shared" si="11"/>
        <v>0</v>
      </c>
      <c r="BB43" s="283"/>
    </row>
    <row r="44" spans="1:54" s="271" customFormat="1" ht="16.5" thickBot="1" x14ac:dyDescent="0.25">
      <c r="A44" s="384"/>
      <c r="B44" s="385" t="s">
        <v>147</v>
      </c>
      <c r="C44" s="386">
        <v>7142</v>
      </c>
      <c r="D44" s="305">
        <v>720</v>
      </c>
      <c r="E44" s="387"/>
      <c r="F44" s="304">
        <v>0</v>
      </c>
      <c r="G44" s="305">
        <v>1000</v>
      </c>
      <c r="H44" s="312"/>
      <c r="I44" s="310">
        <v>0</v>
      </c>
      <c r="J44" s="305"/>
      <c r="K44" s="305">
        <v>1520</v>
      </c>
      <c r="L44" s="312"/>
      <c r="M44" s="304">
        <v>0</v>
      </c>
      <c r="N44" s="305"/>
      <c r="O44" s="445">
        <f>800-50</f>
        <v>750</v>
      </c>
      <c r="P44" s="446"/>
      <c r="Q44" s="447">
        <v>0</v>
      </c>
      <c r="R44" s="391"/>
      <c r="S44" s="441">
        <v>480</v>
      </c>
      <c r="T44" s="446"/>
      <c r="U44" s="310">
        <v>0</v>
      </c>
      <c r="V44" s="305"/>
      <c r="W44" s="287">
        <v>1220</v>
      </c>
      <c r="X44" s="389"/>
      <c r="Y44" s="304">
        <v>0</v>
      </c>
      <c r="Z44" s="305"/>
      <c r="AA44" s="305"/>
      <c r="AB44" s="305"/>
      <c r="AC44" s="448">
        <f t="shared" si="8"/>
        <v>0</v>
      </c>
      <c r="AD44" s="307"/>
      <c r="AE44" s="393">
        <v>3130</v>
      </c>
      <c r="AF44" s="389"/>
      <c r="AG44" s="310">
        <v>0</v>
      </c>
      <c r="AH44" s="305"/>
      <c r="AI44" s="305"/>
      <c r="AJ44" s="307"/>
      <c r="AK44" s="449">
        <f t="shared" si="9"/>
        <v>0</v>
      </c>
      <c r="AL44" s="312"/>
      <c r="AM44" s="393">
        <v>3810</v>
      </c>
      <c r="AN44" s="389"/>
      <c r="AO44" s="310">
        <v>4000</v>
      </c>
      <c r="AP44" s="305"/>
      <c r="AQ44" s="305"/>
      <c r="AR44" s="307"/>
      <c r="AS44" s="284">
        <f t="shared" si="10"/>
        <v>4000</v>
      </c>
      <c r="AT44" s="312"/>
      <c r="AU44" s="393">
        <v>2140</v>
      </c>
      <c r="AV44" s="389"/>
      <c r="AW44" s="310">
        <v>4000</v>
      </c>
      <c r="AX44" s="305"/>
      <c r="AY44" s="305"/>
      <c r="AZ44" s="307"/>
      <c r="BA44" s="284">
        <f t="shared" si="11"/>
        <v>4000</v>
      </c>
      <c r="BB44" s="312"/>
    </row>
    <row r="45" spans="1:54" s="271" customFormat="1" ht="16.5" thickBot="1" x14ac:dyDescent="0.25">
      <c r="A45" s="313"/>
      <c r="B45" s="314" t="s">
        <v>112</v>
      </c>
      <c r="C45" s="396"/>
      <c r="D45" s="397"/>
      <c r="E45" s="398">
        <f>SUM(D38:D44)</f>
        <v>48800.75</v>
      </c>
      <c r="F45" s="399"/>
      <c r="G45" s="400"/>
      <c r="H45" s="401">
        <f>SUM(G38:G44)</f>
        <v>45834.119999999995</v>
      </c>
      <c r="I45" s="402"/>
      <c r="J45" s="400">
        <f>SUM(I38:I44)</f>
        <v>46850</v>
      </c>
      <c r="K45" s="400"/>
      <c r="L45" s="401">
        <f>SUM(K38:K44)</f>
        <v>40965.96</v>
      </c>
      <c r="M45" s="399"/>
      <c r="N45" s="400">
        <f>SUM(M38:M44)</f>
        <v>40300</v>
      </c>
      <c r="O45" s="450"/>
      <c r="P45" s="451">
        <f>SUM(O38:O44)</f>
        <v>33322.959999999999</v>
      </c>
      <c r="Q45" s="452"/>
      <c r="R45" s="453">
        <f>SUM(Q38:Q44)</f>
        <v>35900</v>
      </c>
      <c r="S45" s="452"/>
      <c r="T45" s="451">
        <f>SUM(S38:S44)</f>
        <v>37502</v>
      </c>
      <c r="U45" s="402"/>
      <c r="V45" s="400">
        <f>SUM(U38:U44)</f>
        <v>38700</v>
      </c>
      <c r="W45" s="403"/>
      <c r="X45" s="404">
        <f>SUM(W38:W44)</f>
        <v>40385.229999999996</v>
      </c>
      <c r="Y45" s="399"/>
      <c r="Z45" s="400">
        <f>SUM(Y38:Y44)</f>
        <v>42200</v>
      </c>
      <c r="AA45" s="400"/>
      <c r="AB45" s="400">
        <f>SUM(AA38:AA44)</f>
        <v>650</v>
      </c>
      <c r="AC45" s="402"/>
      <c r="AD45" s="398">
        <f>SUM(AC38:AC44)</f>
        <v>42850</v>
      </c>
      <c r="AE45" s="315"/>
      <c r="AF45" s="669">
        <f>SUM(AE38:AE44)</f>
        <v>44895.08</v>
      </c>
      <c r="AG45" s="402"/>
      <c r="AH45" s="400">
        <f>SUM(AG38:AG44)</f>
        <v>43000</v>
      </c>
      <c r="AI45" s="400"/>
      <c r="AJ45" s="398">
        <f>SUM(AI38:AI44)</f>
        <v>0</v>
      </c>
      <c r="AK45" s="399"/>
      <c r="AL45" s="401">
        <f>SUM(AK38:AK44)</f>
        <v>43000</v>
      </c>
      <c r="AM45" s="315"/>
      <c r="AN45" s="669">
        <f>SUM(AM38:AM44)</f>
        <v>47340.57</v>
      </c>
      <c r="AO45" s="319"/>
      <c r="AP45" s="316">
        <f>SUM(AO38:AO44)</f>
        <v>50500</v>
      </c>
      <c r="AQ45" s="316"/>
      <c r="AR45" s="317">
        <f>SUM(AQ42:AQ44)</f>
        <v>0</v>
      </c>
      <c r="AS45" s="315"/>
      <c r="AT45" s="318">
        <f>SUM(AS38:AS44)</f>
        <v>50500</v>
      </c>
      <c r="AU45" s="315"/>
      <c r="AV45" s="669">
        <f>SUM(AU38:AU44)</f>
        <v>45580.63</v>
      </c>
      <c r="AW45" s="319"/>
      <c r="AX45" s="316">
        <f>SUM(AW38:AW44)</f>
        <v>48550</v>
      </c>
      <c r="AY45" s="316"/>
      <c r="AZ45" s="317">
        <f>SUM(AY42:AY44)</f>
        <v>0</v>
      </c>
      <c r="BA45" s="315"/>
      <c r="BB45" s="318">
        <f>SUM(BA38:BA44)</f>
        <v>48550</v>
      </c>
    </row>
    <row r="46" spans="1:54" s="271" customFormat="1" x14ac:dyDescent="0.2">
      <c r="A46" s="454">
        <v>63</v>
      </c>
      <c r="B46" s="455" t="s">
        <v>12</v>
      </c>
      <c r="C46" s="456"/>
      <c r="D46" s="457"/>
      <c r="E46" s="458"/>
      <c r="F46" s="459"/>
      <c r="G46" s="460"/>
      <c r="H46" s="461"/>
      <c r="I46" s="462"/>
      <c r="J46" s="460"/>
      <c r="K46" s="457"/>
      <c r="L46" s="463"/>
      <c r="M46" s="464"/>
      <c r="N46" s="457"/>
      <c r="O46" s="465"/>
      <c r="P46" s="463"/>
      <c r="Q46" s="464"/>
      <c r="R46" s="466"/>
      <c r="S46" s="464"/>
      <c r="T46" s="463"/>
      <c r="U46" s="467"/>
      <c r="V46" s="468"/>
      <c r="W46" s="465"/>
      <c r="X46" s="463"/>
      <c r="Y46" s="469"/>
      <c r="Z46" s="468"/>
      <c r="AA46" s="468"/>
      <c r="AB46" s="468"/>
      <c r="AC46" s="467"/>
      <c r="AD46" s="470"/>
      <c r="AE46" s="469"/>
      <c r="AF46" s="471"/>
      <c r="AG46" s="467"/>
      <c r="AH46" s="468"/>
      <c r="AI46" s="468"/>
      <c r="AJ46" s="470"/>
      <c r="AK46" s="469"/>
      <c r="AL46" s="471"/>
      <c r="AM46" s="469"/>
      <c r="AN46" s="471"/>
      <c r="AO46" s="336"/>
      <c r="AP46" s="337"/>
      <c r="AQ46" s="337"/>
      <c r="AR46" s="338"/>
      <c r="AS46" s="270"/>
      <c r="AT46" s="339"/>
      <c r="AU46" s="469"/>
      <c r="AV46" s="471"/>
      <c r="AW46" s="336"/>
      <c r="AX46" s="337"/>
      <c r="AY46" s="337"/>
      <c r="AZ46" s="338"/>
      <c r="BA46" s="270"/>
      <c r="BB46" s="339"/>
    </row>
    <row r="47" spans="1:54" s="271" customFormat="1" x14ac:dyDescent="0.2">
      <c r="A47" s="472">
        <v>64</v>
      </c>
      <c r="B47" s="273" t="s">
        <v>148</v>
      </c>
      <c r="C47" s="274">
        <v>60455.25</v>
      </c>
      <c r="D47" s="278">
        <v>68993.279999999999</v>
      </c>
      <c r="E47" s="340"/>
      <c r="F47" s="277">
        <v>70000</v>
      </c>
      <c r="G47" s="278">
        <v>70991.960000000006</v>
      </c>
      <c r="H47" s="279"/>
      <c r="I47" s="280">
        <v>79550</v>
      </c>
      <c r="J47" s="281"/>
      <c r="K47" s="282">
        <v>69789.52</v>
      </c>
      <c r="L47" s="283"/>
      <c r="M47" s="284">
        <v>75000</v>
      </c>
      <c r="N47" s="282"/>
      <c r="O47" s="292">
        <v>57208</v>
      </c>
      <c r="P47" s="440"/>
      <c r="Q47" s="441">
        <v>65000</v>
      </c>
      <c r="R47" s="343"/>
      <c r="S47" s="441">
        <v>63060</v>
      </c>
      <c r="T47" s="440"/>
      <c r="U47" s="341">
        <v>88000</v>
      </c>
      <c r="V47" s="282"/>
      <c r="W47" s="287">
        <f>101489.84+212.52</f>
        <v>101702.36</v>
      </c>
      <c r="X47" s="288"/>
      <c r="Y47" s="357">
        <v>85000</v>
      </c>
      <c r="Z47" s="282"/>
      <c r="AA47" s="355">
        <v>20000</v>
      </c>
      <c r="AB47" s="282"/>
      <c r="AC47" s="341">
        <f t="shared" ref="AC47:AC53" si="12">Y47+AA47</f>
        <v>105000</v>
      </c>
      <c r="AD47" s="286"/>
      <c r="AE47" s="345">
        <f>109804.67+3280.83-4666.62</f>
        <v>108418.88</v>
      </c>
      <c r="AF47" s="288"/>
      <c r="AG47" s="341">
        <v>105500</v>
      </c>
      <c r="AH47" s="282"/>
      <c r="AI47" s="355">
        <v>20000</v>
      </c>
      <c r="AJ47" s="286"/>
      <c r="AK47" s="357">
        <f>AG47+AI47</f>
        <v>125500</v>
      </c>
      <c r="AL47" s="283"/>
      <c r="AM47" s="345">
        <v>119752.8</v>
      </c>
      <c r="AN47" s="288"/>
      <c r="AO47" s="417">
        <v>125100</v>
      </c>
      <c r="AP47" s="473"/>
      <c r="AQ47" s="474">
        <v>20000</v>
      </c>
      <c r="AR47" s="286"/>
      <c r="AS47" s="284">
        <f t="shared" ref="AS47:AS53" si="13">SUM(AO47:AR47)</f>
        <v>145100</v>
      </c>
      <c r="AT47" s="283"/>
      <c r="AU47" s="345">
        <v>133800.19</v>
      </c>
      <c r="AV47" s="288"/>
      <c r="AW47" s="417">
        <v>118100</v>
      </c>
      <c r="AX47" s="473"/>
      <c r="AY47" s="474">
        <v>20500</v>
      </c>
      <c r="AZ47" s="286"/>
      <c r="BA47" s="284">
        <f>SUM(AW47:AZ47)</f>
        <v>138600</v>
      </c>
      <c r="BB47" s="283"/>
    </row>
    <row r="48" spans="1:54" s="271" customFormat="1" x14ac:dyDescent="0.2">
      <c r="A48" s="272"/>
      <c r="B48" s="273" t="s">
        <v>149</v>
      </c>
      <c r="C48" s="274">
        <v>10173.84</v>
      </c>
      <c r="D48" s="278">
        <v>15155.86</v>
      </c>
      <c r="E48" s="340"/>
      <c r="F48" s="277">
        <v>16000</v>
      </c>
      <c r="G48" s="278">
        <v>15972.03</v>
      </c>
      <c r="H48" s="279"/>
      <c r="I48" s="280">
        <v>15500</v>
      </c>
      <c r="J48" s="281"/>
      <c r="K48" s="282">
        <v>12693.93</v>
      </c>
      <c r="L48" s="283"/>
      <c r="M48" s="284">
        <v>16500</v>
      </c>
      <c r="N48" s="282"/>
      <c r="O48" s="292">
        <f>9082.63-2191</f>
        <v>6891.6299999999992</v>
      </c>
      <c r="P48" s="440"/>
      <c r="Q48" s="441">
        <v>9000</v>
      </c>
      <c r="R48" s="343"/>
      <c r="S48" s="441">
        <v>8141</v>
      </c>
      <c r="T48" s="440"/>
      <c r="U48" s="341">
        <v>15000</v>
      </c>
      <c r="V48" s="282"/>
      <c r="W48" s="287">
        <v>7916.4</v>
      </c>
      <c r="X48" s="288"/>
      <c r="Y48" s="357">
        <v>9000</v>
      </c>
      <c r="Z48" s="282"/>
      <c r="AA48" s="355">
        <v>7000</v>
      </c>
      <c r="AB48" s="282"/>
      <c r="AC48" s="341">
        <f t="shared" si="12"/>
        <v>16000</v>
      </c>
      <c r="AD48" s="286"/>
      <c r="AE48" s="345">
        <v>15679.7</v>
      </c>
      <c r="AF48" s="288"/>
      <c r="AG48" s="341">
        <v>11000</v>
      </c>
      <c r="AH48" s="282"/>
      <c r="AI48" s="355">
        <v>2000</v>
      </c>
      <c r="AJ48" s="286"/>
      <c r="AK48" s="357">
        <f>AG48+AI48</f>
        <v>13000</v>
      </c>
      <c r="AL48" s="283"/>
      <c r="AM48" s="345">
        <v>25066</v>
      </c>
      <c r="AN48" s="288"/>
      <c r="AO48" s="417">
        <v>28000</v>
      </c>
      <c r="AP48" s="473"/>
      <c r="AQ48" s="474">
        <v>2000</v>
      </c>
      <c r="AR48" s="286"/>
      <c r="AS48" s="284">
        <f t="shared" si="13"/>
        <v>30000</v>
      </c>
      <c r="AT48" s="283"/>
      <c r="AU48" s="345">
        <v>24492.55</v>
      </c>
      <c r="AV48" s="288"/>
      <c r="AW48" s="417">
        <v>25000</v>
      </c>
      <c r="AX48" s="473"/>
      <c r="AY48" s="474">
        <v>3000</v>
      </c>
      <c r="AZ48" s="286"/>
      <c r="BA48" s="284">
        <f t="shared" ref="BA48:BA53" si="14">SUM(AW48:AZ48)</f>
        <v>28000</v>
      </c>
      <c r="BB48" s="283"/>
    </row>
    <row r="49" spans="1:55" s="271" customFormat="1" x14ac:dyDescent="0.2">
      <c r="A49" s="272"/>
      <c r="B49" s="273" t="s">
        <v>150</v>
      </c>
      <c r="C49" s="274">
        <v>890.96</v>
      </c>
      <c r="D49" s="278">
        <v>944.36</v>
      </c>
      <c r="E49" s="340"/>
      <c r="F49" s="277">
        <v>1000</v>
      </c>
      <c r="G49" s="278">
        <v>1028.74</v>
      </c>
      <c r="H49" s="279"/>
      <c r="I49" s="280">
        <v>1000</v>
      </c>
      <c r="J49" s="281"/>
      <c r="K49" s="282">
        <f>959.09+202.49</f>
        <v>1161.58</v>
      </c>
      <c r="L49" s="283"/>
      <c r="M49" s="284">
        <v>1400</v>
      </c>
      <c r="N49" s="282"/>
      <c r="O49" s="292">
        <f>777.6+251.41</f>
        <v>1029.01</v>
      </c>
      <c r="P49" s="440"/>
      <c r="Q49" s="441">
        <v>1300</v>
      </c>
      <c r="R49" s="343"/>
      <c r="S49" s="441">
        <v>1161</v>
      </c>
      <c r="T49" s="440"/>
      <c r="U49" s="341">
        <v>2200</v>
      </c>
      <c r="V49" s="282"/>
      <c r="W49" s="287">
        <f>1036.8+301.22</f>
        <v>1338.02</v>
      </c>
      <c r="X49" s="288"/>
      <c r="Y49" s="357">
        <v>1500</v>
      </c>
      <c r="Z49" s="282"/>
      <c r="AA49" s="355">
        <v>500</v>
      </c>
      <c r="AB49" s="282"/>
      <c r="AC49" s="341">
        <f t="shared" si="12"/>
        <v>2000</v>
      </c>
      <c r="AD49" s="286"/>
      <c r="AE49" s="345">
        <f>1126.08+400.75</f>
        <v>1526.83</v>
      </c>
      <c r="AF49" s="288"/>
      <c r="AG49" s="341">
        <v>1800</v>
      </c>
      <c r="AH49" s="282"/>
      <c r="AI49" s="355">
        <v>400</v>
      </c>
      <c r="AJ49" s="286"/>
      <c r="AK49" s="357">
        <f>AG49+AI49</f>
        <v>2200</v>
      </c>
      <c r="AL49" s="283"/>
      <c r="AM49" s="345">
        <f>2023.5+734.77</f>
        <v>2758.27</v>
      </c>
      <c r="AN49" s="288"/>
      <c r="AO49" s="417">
        <v>3800</v>
      </c>
      <c r="AP49" s="473"/>
      <c r="AQ49" s="474">
        <v>400</v>
      </c>
      <c r="AR49" s="286"/>
      <c r="AS49" s="284">
        <f t="shared" si="13"/>
        <v>4200</v>
      </c>
      <c r="AT49" s="283"/>
      <c r="AU49" s="345">
        <f>1786.26+1357.17</f>
        <v>3143.4300000000003</v>
      </c>
      <c r="AV49" s="288"/>
      <c r="AW49" s="417">
        <v>3400</v>
      </c>
      <c r="AX49" s="473"/>
      <c r="AY49" s="474">
        <v>400</v>
      </c>
      <c r="AZ49" s="286"/>
      <c r="BA49" s="284">
        <f t="shared" si="14"/>
        <v>3800</v>
      </c>
      <c r="BB49" s="283"/>
    </row>
    <row r="50" spans="1:55" s="271" customFormat="1" x14ac:dyDescent="0.2">
      <c r="A50" s="272"/>
      <c r="B50" s="273" t="s">
        <v>151</v>
      </c>
      <c r="C50" s="274">
        <v>3536.52</v>
      </c>
      <c r="D50" s="278">
        <v>4035.99</v>
      </c>
      <c r="E50" s="340"/>
      <c r="F50" s="277">
        <v>4100</v>
      </c>
      <c r="G50" s="278">
        <v>4152.97</v>
      </c>
      <c r="H50" s="279"/>
      <c r="I50" s="280">
        <v>4200</v>
      </c>
      <c r="J50" s="281"/>
      <c r="K50" s="282">
        <v>2608.7199999999998</v>
      </c>
      <c r="L50" s="283"/>
      <c r="M50" s="284">
        <v>3500</v>
      </c>
      <c r="N50" s="282"/>
      <c r="O50" s="292">
        <v>1999.24</v>
      </c>
      <c r="P50" s="440"/>
      <c r="Q50" s="441">
        <v>2500</v>
      </c>
      <c r="R50" s="343"/>
      <c r="S50" s="441">
        <v>2316</v>
      </c>
      <c r="T50" s="440"/>
      <c r="U50" s="341">
        <v>3400</v>
      </c>
      <c r="V50" s="282"/>
      <c r="W50" s="287">
        <v>3348.91</v>
      </c>
      <c r="X50" s="288"/>
      <c r="Y50" s="357">
        <v>3500</v>
      </c>
      <c r="Z50" s="282"/>
      <c r="AA50" s="355">
        <v>900</v>
      </c>
      <c r="AB50" s="282"/>
      <c r="AC50" s="341">
        <f t="shared" si="12"/>
        <v>4400</v>
      </c>
      <c r="AD50" s="286"/>
      <c r="AE50" s="345">
        <v>3392.22</v>
      </c>
      <c r="AF50" s="288"/>
      <c r="AG50" s="341">
        <v>6000</v>
      </c>
      <c r="AH50" s="282"/>
      <c r="AI50" s="355">
        <v>1000</v>
      </c>
      <c r="AJ50" s="286"/>
      <c r="AK50" s="357">
        <f>AG50+AI50</f>
        <v>7000</v>
      </c>
      <c r="AL50" s="283"/>
      <c r="AM50" s="345">
        <v>5477.57</v>
      </c>
      <c r="AN50" s="288"/>
      <c r="AO50" s="417">
        <v>8000</v>
      </c>
      <c r="AP50" s="473"/>
      <c r="AQ50" s="474">
        <v>1000</v>
      </c>
      <c r="AR50" s="286"/>
      <c r="AS50" s="284">
        <f t="shared" si="13"/>
        <v>9000</v>
      </c>
      <c r="AT50" s="283"/>
      <c r="AU50" s="345">
        <v>5445.78</v>
      </c>
      <c r="AV50" s="288"/>
      <c r="AW50" s="417">
        <v>4000</v>
      </c>
      <c r="AX50" s="473"/>
      <c r="AY50" s="474">
        <v>1000</v>
      </c>
      <c r="AZ50" s="286"/>
      <c r="BA50" s="284">
        <f t="shared" si="14"/>
        <v>5000</v>
      </c>
      <c r="BB50" s="283"/>
    </row>
    <row r="51" spans="1:55" s="271" customFormat="1" x14ac:dyDescent="0.2">
      <c r="A51" s="272"/>
      <c r="B51" s="273" t="s">
        <v>198</v>
      </c>
      <c r="C51" s="274">
        <v>2426.6799999999998</v>
      </c>
      <c r="D51" s="275"/>
      <c r="E51" s="276"/>
      <c r="F51" s="475"/>
      <c r="G51" s="281"/>
      <c r="H51" s="279"/>
      <c r="I51" s="476"/>
      <c r="J51" s="281"/>
      <c r="K51" s="282"/>
      <c r="L51" s="283"/>
      <c r="M51" s="284"/>
      <c r="N51" s="282"/>
      <c r="O51" s="292"/>
      <c r="P51" s="440"/>
      <c r="Q51" s="441"/>
      <c r="R51" s="343"/>
      <c r="S51" s="441">
        <v>0</v>
      </c>
      <c r="T51" s="440"/>
      <c r="U51" s="341"/>
      <c r="V51" s="282"/>
      <c r="W51" s="287"/>
      <c r="X51" s="288"/>
      <c r="Y51" s="357"/>
      <c r="Z51" s="282"/>
      <c r="AA51" s="355"/>
      <c r="AB51" s="282"/>
      <c r="AC51" s="341">
        <f t="shared" si="12"/>
        <v>0</v>
      </c>
      <c r="AD51" s="286"/>
      <c r="AE51" s="345"/>
      <c r="AF51" s="288"/>
      <c r="AG51" s="341"/>
      <c r="AH51" s="282"/>
      <c r="AI51" s="355"/>
      <c r="AJ51" s="286"/>
      <c r="AK51" s="357"/>
      <c r="AL51" s="283"/>
      <c r="AM51" s="345">
        <f>3348.59+2613.08</f>
        <v>5961.67</v>
      </c>
      <c r="AN51" s="288"/>
      <c r="AO51" s="417"/>
      <c r="AP51" s="473"/>
      <c r="AQ51" s="474"/>
      <c r="AR51" s="286"/>
      <c r="AS51" s="284">
        <f t="shared" si="13"/>
        <v>0</v>
      </c>
      <c r="AT51" s="283"/>
      <c r="AU51" s="345">
        <f>1093.02+5845.06</f>
        <v>6938.08</v>
      </c>
      <c r="AV51" s="288"/>
      <c r="AW51" s="417">
        <v>1000</v>
      </c>
      <c r="AX51" s="473"/>
      <c r="AY51" s="474"/>
      <c r="AZ51" s="286"/>
      <c r="BA51" s="284">
        <f t="shared" si="14"/>
        <v>1000</v>
      </c>
      <c r="BB51" s="283"/>
    </row>
    <row r="52" spans="1:55" s="271" customFormat="1" x14ac:dyDescent="0.2">
      <c r="A52" s="272"/>
      <c r="B52" s="273" t="s">
        <v>152</v>
      </c>
      <c r="C52" s="274">
        <v>241.2</v>
      </c>
      <c r="D52" s="278">
        <v>241.2</v>
      </c>
      <c r="E52" s="340"/>
      <c r="F52" s="277">
        <v>450</v>
      </c>
      <c r="G52" s="278">
        <v>244.8</v>
      </c>
      <c r="H52" s="279"/>
      <c r="I52" s="280">
        <v>250</v>
      </c>
      <c r="J52" s="281"/>
      <c r="K52" s="282">
        <v>248.4</v>
      </c>
      <c r="L52" s="283"/>
      <c r="M52" s="284">
        <v>250</v>
      </c>
      <c r="N52" s="282"/>
      <c r="O52" s="292">
        <v>248.4</v>
      </c>
      <c r="P52" s="440"/>
      <c r="Q52" s="441">
        <v>250</v>
      </c>
      <c r="R52" s="343"/>
      <c r="S52" s="441">
        <v>301</v>
      </c>
      <c r="T52" s="440"/>
      <c r="U52" s="341">
        <v>260</v>
      </c>
      <c r="V52" s="282"/>
      <c r="W52" s="287">
        <v>345.6</v>
      </c>
      <c r="X52" s="288"/>
      <c r="Y52" s="357">
        <v>360</v>
      </c>
      <c r="Z52" s="282"/>
      <c r="AA52" s="355"/>
      <c r="AB52" s="282"/>
      <c r="AC52" s="341">
        <f t="shared" si="12"/>
        <v>360</v>
      </c>
      <c r="AD52" s="286"/>
      <c r="AE52" s="345">
        <v>362.88</v>
      </c>
      <c r="AF52" s="288"/>
      <c r="AG52" s="341">
        <v>300</v>
      </c>
      <c r="AH52" s="282"/>
      <c r="AI52" s="355">
        <v>100</v>
      </c>
      <c r="AJ52" s="286"/>
      <c r="AK52" s="357">
        <f>AG52+AI52</f>
        <v>400</v>
      </c>
      <c r="AL52" s="283"/>
      <c r="AM52" s="345">
        <v>591.6</v>
      </c>
      <c r="AN52" s="288"/>
      <c r="AO52" s="417">
        <v>300</v>
      </c>
      <c r="AP52" s="473"/>
      <c r="AQ52" s="474">
        <v>100</v>
      </c>
      <c r="AR52" s="286"/>
      <c r="AS52" s="284">
        <f t="shared" si="13"/>
        <v>400</v>
      </c>
      <c r="AT52" s="283"/>
      <c r="AU52" s="345">
        <v>620.4</v>
      </c>
      <c r="AV52" s="288"/>
      <c r="AW52" s="417">
        <v>500</v>
      </c>
      <c r="AX52" s="473"/>
      <c r="AY52" s="474">
        <v>100</v>
      </c>
      <c r="AZ52" s="286"/>
      <c r="BA52" s="284">
        <f t="shared" si="14"/>
        <v>600</v>
      </c>
      <c r="BB52" s="283"/>
    </row>
    <row r="53" spans="1:55" s="271" customFormat="1" x14ac:dyDescent="0.2">
      <c r="A53" s="272"/>
      <c r="B53" s="273" t="s">
        <v>153</v>
      </c>
      <c r="C53" s="274"/>
      <c r="D53" s="278">
        <v>379</v>
      </c>
      <c r="E53" s="276"/>
      <c r="F53" s="277">
        <v>450</v>
      </c>
      <c r="G53" s="278">
        <v>391</v>
      </c>
      <c r="H53" s="413"/>
      <c r="I53" s="280">
        <v>1000</v>
      </c>
      <c r="J53" s="278"/>
      <c r="K53" s="278">
        <v>1322.53</v>
      </c>
      <c r="L53" s="413"/>
      <c r="M53" s="277">
        <v>3500</v>
      </c>
      <c r="N53" s="278"/>
      <c r="O53" s="353">
        <v>1000.75</v>
      </c>
      <c r="P53" s="482"/>
      <c r="Q53" s="351">
        <v>1200</v>
      </c>
      <c r="R53" s="483"/>
      <c r="S53" s="441">
        <v>1154</v>
      </c>
      <c r="T53" s="482"/>
      <c r="U53" s="341">
        <v>1450</v>
      </c>
      <c r="V53" s="278"/>
      <c r="W53" s="287">
        <v>1899.43</v>
      </c>
      <c r="X53" s="415"/>
      <c r="Y53" s="357">
        <v>1900</v>
      </c>
      <c r="Z53" s="278"/>
      <c r="AA53" s="355"/>
      <c r="AB53" s="278"/>
      <c r="AC53" s="341">
        <f t="shared" si="12"/>
        <v>1900</v>
      </c>
      <c r="AD53" s="414"/>
      <c r="AE53" s="416">
        <v>2622.41</v>
      </c>
      <c r="AF53" s="415"/>
      <c r="AG53" s="341">
        <v>1900</v>
      </c>
      <c r="AH53" s="278"/>
      <c r="AI53" s="355"/>
      <c r="AJ53" s="414"/>
      <c r="AK53" s="357">
        <f>AG53+AI53</f>
        <v>1900</v>
      </c>
      <c r="AL53" s="413"/>
      <c r="AM53" s="416">
        <f>2086.11+60</f>
        <v>2146.11</v>
      </c>
      <c r="AN53" s="415"/>
      <c r="AO53" s="417">
        <v>1900</v>
      </c>
      <c r="AP53" s="349"/>
      <c r="AQ53" s="474"/>
      <c r="AR53" s="414"/>
      <c r="AS53" s="284">
        <f t="shared" si="13"/>
        <v>1900</v>
      </c>
      <c r="AT53" s="413"/>
      <c r="AU53" s="416">
        <f>2071.77</f>
        <v>2071.77</v>
      </c>
      <c r="AV53" s="415"/>
      <c r="AW53" s="417">
        <v>2500</v>
      </c>
      <c r="AX53" s="349"/>
      <c r="AY53" s="474"/>
      <c r="AZ53" s="414"/>
      <c r="BA53" s="284">
        <f t="shared" si="14"/>
        <v>2500</v>
      </c>
      <c r="BB53" s="413"/>
    </row>
    <row r="54" spans="1:55" s="271" customFormat="1" ht="16.5" thickBot="1" x14ac:dyDescent="0.25">
      <c r="A54" s="517"/>
      <c r="B54" s="710" t="s">
        <v>199</v>
      </c>
      <c r="C54" s="711"/>
      <c r="D54" s="712"/>
      <c r="E54" s="521"/>
      <c r="F54" s="713"/>
      <c r="G54" s="712"/>
      <c r="H54" s="714"/>
      <c r="I54" s="715"/>
      <c r="J54" s="716"/>
      <c r="K54" s="524">
        <v>7346.87</v>
      </c>
      <c r="L54" s="525"/>
      <c r="M54" s="526">
        <v>0</v>
      </c>
      <c r="N54" s="524"/>
      <c r="O54" s="717">
        <f>8548.54-7346.87</f>
        <v>1201.670000000001</v>
      </c>
      <c r="P54" s="718"/>
      <c r="Q54" s="719">
        <v>1000</v>
      </c>
      <c r="R54" s="720"/>
      <c r="S54" s="719">
        <v>9384</v>
      </c>
      <c r="T54" s="718"/>
      <c r="U54" s="721">
        <v>0</v>
      </c>
      <c r="V54" s="524"/>
      <c r="W54" s="722">
        <v>3651.09</v>
      </c>
      <c r="X54" s="723"/>
      <c r="Y54" s="724"/>
      <c r="Z54" s="524"/>
      <c r="AA54" s="725"/>
      <c r="AB54" s="524"/>
      <c r="AC54" s="721">
        <f>Y54+AA54</f>
        <v>0</v>
      </c>
      <c r="AD54" s="528"/>
      <c r="AE54" s="726">
        <v>1073.69</v>
      </c>
      <c r="AF54" s="723"/>
      <c r="AG54" s="721"/>
      <c r="AH54" s="524"/>
      <c r="AI54" s="725"/>
      <c r="AJ54" s="528"/>
      <c r="AK54" s="724">
        <f>AG54+AI54</f>
        <v>0</v>
      </c>
      <c r="AL54" s="525"/>
      <c r="AM54" s="726">
        <f>5165.56</f>
        <v>5165.5600000000004</v>
      </c>
      <c r="AN54" s="723"/>
      <c r="AO54" s="727"/>
      <c r="AP54" s="728"/>
      <c r="AQ54" s="729"/>
      <c r="AR54" s="528"/>
      <c r="AS54" s="526">
        <f>SUM(AO54:AR54)</f>
        <v>0</v>
      </c>
      <c r="AT54" s="525"/>
      <c r="AU54" s="726">
        <f>-4934.45+2074.5+5503.72+102.21</f>
        <v>2745.9800000000005</v>
      </c>
      <c r="AV54" s="723"/>
      <c r="AW54" s="727">
        <v>3000</v>
      </c>
      <c r="AX54" s="728"/>
      <c r="AY54" s="729"/>
      <c r="AZ54" s="528"/>
      <c r="BA54" s="526">
        <f>SUM(AW54:AZ54)</f>
        <v>3000</v>
      </c>
      <c r="BB54" s="525"/>
    </row>
    <row r="55" spans="1:55" s="271" customFormat="1" ht="16.5" thickBot="1" x14ac:dyDescent="0.25">
      <c r="A55" s="313"/>
      <c r="B55" s="314" t="s">
        <v>112</v>
      </c>
      <c r="C55" s="396"/>
      <c r="D55" s="397"/>
      <c r="E55" s="398">
        <f>SUM(D47:D53)</f>
        <v>89749.69</v>
      </c>
      <c r="F55" s="399"/>
      <c r="G55" s="400"/>
      <c r="H55" s="401">
        <f>SUM(G47:G54)</f>
        <v>92781.500000000015</v>
      </c>
      <c r="I55" s="401"/>
      <c r="J55" s="401">
        <f>SUM(I47:I54)</f>
        <v>101500</v>
      </c>
      <c r="K55" s="401"/>
      <c r="L55" s="401">
        <f>SUM(K47:K54)</f>
        <v>95171.55</v>
      </c>
      <c r="M55" s="399"/>
      <c r="N55" s="669">
        <f>SUM(M47:M54)</f>
        <v>100150</v>
      </c>
      <c r="O55" s="399"/>
      <c r="P55" s="669">
        <f t="shared" ref="P55:AX55" si="15">SUM(O47:O54)</f>
        <v>69578.7</v>
      </c>
      <c r="Q55" s="399"/>
      <c r="R55" s="669">
        <f t="shared" si="15"/>
        <v>80250</v>
      </c>
      <c r="S55" s="399"/>
      <c r="T55" s="669">
        <f t="shared" si="15"/>
        <v>85517</v>
      </c>
      <c r="U55" s="399"/>
      <c r="V55" s="669">
        <f t="shared" si="15"/>
        <v>110310</v>
      </c>
      <c r="W55" s="399"/>
      <c r="X55" s="669">
        <f t="shared" si="15"/>
        <v>120201.81</v>
      </c>
      <c r="Y55" s="399"/>
      <c r="Z55" s="399">
        <f t="shared" si="15"/>
        <v>101260</v>
      </c>
      <c r="AA55" s="399"/>
      <c r="AB55" s="399">
        <f t="shared" si="15"/>
        <v>28400</v>
      </c>
      <c r="AC55" s="402"/>
      <c r="AD55" s="669">
        <f t="shared" si="15"/>
        <v>129660</v>
      </c>
      <c r="AE55" s="399"/>
      <c r="AF55" s="669">
        <f t="shared" si="15"/>
        <v>133076.61000000002</v>
      </c>
      <c r="AG55" s="399"/>
      <c r="AH55" s="402">
        <f t="shared" si="15"/>
        <v>126500</v>
      </c>
      <c r="AI55" s="402"/>
      <c r="AJ55" s="669">
        <f t="shared" si="15"/>
        <v>23500</v>
      </c>
      <c r="AK55" s="399"/>
      <c r="AL55" s="669">
        <f t="shared" si="15"/>
        <v>150000</v>
      </c>
      <c r="AM55" s="399"/>
      <c r="AN55" s="669">
        <f t="shared" si="15"/>
        <v>166919.57999999999</v>
      </c>
      <c r="AO55" s="401">
        <f t="shared" si="15"/>
        <v>0</v>
      </c>
      <c r="AP55" s="401">
        <f t="shared" si="15"/>
        <v>167100</v>
      </c>
      <c r="AQ55" s="401">
        <f t="shared" si="15"/>
        <v>0</v>
      </c>
      <c r="AR55" s="401">
        <f t="shared" si="15"/>
        <v>23500</v>
      </c>
      <c r="AS55" s="399"/>
      <c r="AT55" s="669">
        <f t="shared" si="15"/>
        <v>190600</v>
      </c>
      <c r="AU55" s="399"/>
      <c r="AV55" s="669">
        <f>SUM(AU47:AU54)</f>
        <v>179258.17999999996</v>
      </c>
      <c r="AW55" s="399"/>
      <c r="AX55" s="402">
        <f t="shared" si="15"/>
        <v>157500</v>
      </c>
      <c r="AY55" s="400"/>
      <c r="AZ55" s="669">
        <f>SUM(AY47:AY54)</f>
        <v>25000</v>
      </c>
      <c r="BA55" s="399"/>
      <c r="BB55" s="669">
        <f>SUM(BA47:BA54)</f>
        <v>182500</v>
      </c>
      <c r="BC55" s="271" t="s">
        <v>154</v>
      </c>
    </row>
    <row r="56" spans="1:55" s="271" customFormat="1" x14ac:dyDescent="0.2">
      <c r="A56" s="322">
        <v>65</v>
      </c>
      <c r="B56" s="478" t="s">
        <v>13</v>
      </c>
      <c r="C56" s="324"/>
      <c r="D56" s="325"/>
      <c r="E56" s="326"/>
      <c r="F56" s="327"/>
      <c r="G56" s="328"/>
      <c r="H56" s="329"/>
      <c r="I56" s="330"/>
      <c r="J56" s="328"/>
      <c r="K56" s="331"/>
      <c r="L56" s="332"/>
      <c r="M56" s="333"/>
      <c r="N56" s="331"/>
      <c r="O56" s="334"/>
      <c r="P56" s="332"/>
      <c r="Q56" s="333"/>
      <c r="R56" s="335"/>
      <c r="S56" s="333"/>
      <c r="T56" s="332"/>
      <c r="U56" s="334"/>
      <c r="V56" s="331"/>
      <c r="W56" s="334"/>
      <c r="X56" s="332"/>
      <c r="Y56" s="270"/>
      <c r="Z56" s="337"/>
      <c r="AA56" s="337"/>
      <c r="AB56" s="337"/>
      <c r="AC56" s="336"/>
      <c r="AD56" s="338"/>
      <c r="AE56" s="270"/>
      <c r="AF56" s="339"/>
      <c r="AG56" s="336"/>
      <c r="AH56" s="337"/>
      <c r="AI56" s="337"/>
      <c r="AJ56" s="338"/>
      <c r="AK56" s="270"/>
      <c r="AL56" s="339"/>
      <c r="AM56" s="270"/>
      <c r="AN56" s="339"/>
      <c r="AO56" s="336"/>
      <c r="AP56" s="337"/>
      <c r="AQ56" s="337"/>
      <c r="AR56" s="338"/>
      <c r="AS56" s="270"/>
      <c r="AT56" s="339"/>
      <c r="AU56" s="270"/>
      <c r="AV56" s="339"/>
      <c r="AW56" s="336"/>
      <c r="AX56" s="337"/>
      <c r="AY56" s="337"/>
      <c r="AZ56" s="338"/>
      <c r="BA56" s="270"/>
      <c r="BB56" s="339"/>
    </row>
    <row r="57" spans="1:55" s="271" customFormat="1" x14ac:dyDescent="0.2">
      <c r="A57" s="479"/>
      <c r="B57" s="273" t="s">
        <v>155</v>
      </c>
      <c r="C57" s="274">
        <v>10.84</v>
      </c>
      <c r="D57" s="278">
        <v>2.52</v>
      </c>
      <c r="E57" s="340"/>
      <c r="F57" s="277">
        <v>0</v>
      </c>
      <c r="G57" s="278">
        <v>6.31</v>
      </c>
      <c r="H57" s="279"/>
      <c r="I57" s="476"/>
      <c r="J57" s="281"/>
      <c r="K57" s="282"/>
      <c r="L57" s="283"/>
      <c r="M57" s="284"/>
      <c r="N57" s="282"/>
      <c r="O57" s="292"/>
      <c r="P57" s="440"/>
      <c r="Q57" s="441"/>
      <c r="R57" s="343"/>
      <c r="S57" s="441">
        <v>0</v>
      </c>
      <c r="T57" s="440"/>
      <c r="U57" s="285"/>
      <c r="V57" s="282"/>
      <c r="W57" s="287">
        <v>0.56000000000000005</v>
      </c>
      <c r="X57" s="288"/>
      <c r="Y57" s="284"/>
      <c r="Z57" s="282"/>
      <c r="AA57" s="282"/>
      <c r="AB57" s="282"/>
      <c r="AC57" s="285">
        <f t="shared" ref="AC57:AC62" si="16">Y57+AA57</f>
        <v>0</v>
      </c>
      <c r="AD57" s="286"/>
      <c r="AE57" s="345">
        <v>62.21</v>
      </c>
      <c r="AF57" s="288"/>
      <c r="AG57" s="285">
        <v>50</v>
      </c>
      <c r="AH57" s="282"/>
      <c r="AI57" s="282"/>
      <c r="AJ57" s="286"/>
      <c r="AK57" s="284">
        <f t="shared" ref="AK57:AK62" si="17">AG57+AI57</f>
        <v>50</v>
      </c>
      <c r="AL57" s="283"/>
      <c r="AM57" s="345">
        <v>2.52</v>
      </c>
      <c r="AN57" s="288"/>
      <c r="AO57" s="285"/>
      <c r="AP57" s="282"/>
      <c r="AQ57" s="282"/>
      <c r="AR57" s="286"/>
      <c r="AS57" s="284">
        <f t="shared" ref="AS57:AS62" si="18">SUM(AO57:AR57)</f>
        <v>0</v>
      </c>
      <c r="AT57" s="283"/>
      <c r="AU57" s="345">
        <v>25383.360000000001</v>
      </c>
      <c r="AV57" s="288"/>
      <c r="AW57" s="285">
        <v>800</v>
      </c>
      <c r="AX57" s="282"/>
      <c r="AY57" s="282"/>
      <c r="AZ57" s="286"/>
      <c r="BA57" s="284">
        <f t="shared" ref="BA57:BA62" si="19">SUM(AW57:AZ57)</f>
        <v>800</v>
      </c>
      <c r="BB57" s="283"/>
    </row>
    <row r="58" spans="1:55" s="271" customFormat="1" x14ac:dyDescent="0.2">
      <c r="A58" s="480">
        <v>66</v>
      </c>
      <c r="B58" s="273" t="s">
        <v>156</v>
      </c>
      <c r="C58" s="274"/>
      <c r="D58" s="275">
        <v>48</v>
      </c>
      <c r="E58" s="276"/>
      <c r="F58" s="277">
        <v>50</v>
      </c>
      <c r="G58" s="281"/>
      <c r="H58" s="279"/>
      <c r="I58" s="280"/>
      <c r="J58" s="281"/>
      <c r="K58" s="282">
        <v>52</v>
      </c>
      <c r="L58" s="283"/>
      <c r="M58" s="284">
        <v>55</v>
      </c>
      <c r="N58" s="282"/>
      <c r="O58" s="292">
        <v>51</v>
      </c>
      <c r="P58" s="440"/>
      <c r="Q58" s="441">
        <v>55</v>
      </c>
      <c r="R58" s="343"/>
      <c r="S58" s="441">
        <v>35</v>
      </c>
      <c r="T58" s="440"/>
      <c r="U58" s="285">
        <v>35</v>
      </c>
      <c r="V58" s="282"/>
      <c r="W58" s="287">
        <v>18</v>
      </c>
      <c r="X58" s="288"/>
      <c r="Y58" s="284">
        <v>0</v>
      </c>
      <c r="Z58" s="282"/>
      <c r="AA58" s="282"/>
      <c r="AB58" s="282"/>
      <c r="AC58" s="285">
        <f t="shared" si="16"/>
        <v>0</v>
      </c>
      <c r="AD58" s="286"/>
      <c r="AE58" s="345">
        <v>18</v>
      </c>
      <c r="AF58" s="288"/>
      <c r="AG58" s="285"/>
      <c r="AH58" s="282"/>
      <c r="AI58" s="282"/>
      <c r="AJ58" s="286"/>
      <c r="AK58" s="284">
        <f t="shared" si="17"/>
        <v>0</v>
      </c>
      <c r="AL58" s="283"/>
      <c r="AM58" s="345"/>
      <c r="AN58" s="288"/>
      <c r="AO58" s="285"/>
      <c r="AP58" s="282"/>
      <c r="AQ58" s="282"/>
      <c r="AR58" s="286"/>
      <c r="AS58" s="284">
        <f t="shared" si="18"/>
        <v>0</v>
      </c>
      <c r="AT58" s="283"/>
      <c r="AU58" s="345"/>
      <c r="AV58" s="288"/>
      <c r="AW58" s="285"/>
      <c r="AX58" s="282"/>
      <c r="AY58" s="282"/>
      <c r="AZ58" s="286"/>
      <c r="BA58" s="284">
        <f t="shared" si="19"/>
        <v>0</v>
      </c>
      <c r="BB58" s="283"/>
    </row>
    <row r="59" spans="1:55" s="271" customFormat="1" x14ac:dyDescent="0.2">
      <c r="A59" s="479"/>
      <c r="B59" s="273" t="s">
        <v>157</v>
      </c>
      <c r="C59" s="293"/>
      <c r="D59" s="481"/>
      <c r="E59" s="340"/>
      <c r="F59" s="475"/>
      <c r="G59" s="281"/>
      <c r="H59" s="279"/>
      <c r="I59" s="476"/>
      <c r="J59" s="281"/>
      <c r="K59" s="282"/>
      <c r="L59" s="283"/>
      <c r="M59" s="284"/>
      <c r="N59" s="282"/>
      <c r="O59" s="292"/>
      <c r="P59" s="440"/>
      <c r="Q59" s="441"/>
      <c r="R59" s="343"/>
      <c r="S59" s="441">
        <v>0</v>
      </c>
      <c r="T59" s="440"/>
      <c r="U59" s="285"/>
      <c r="V59" s="282"/>
      <c r="W59" s="287"/>
      <c r="X59" s="288"/>
      <c r="Y59" s="284"/>
      <c r="Z59" s="282"/>
      <c r="AA59" s="282"/>
      <c r="AB59" s="282"/>
      <c r="AC59" s="285">
        <f t="shared" si="16"/>
        <v>0</v>
      </c>
      <c r="AD59" s="286"/>
      <c r="AE59" s="345"/>
      <c r="AF59" s="288"/>
      <c r="AG59" s="285"/>
      <c r="AH59" s="282"/>
      <c r="AI59" s="282"/>
      <c r="AJ59" s="286"/>
      <c r="AK59" s="284">
        <f t="shared" si="17"/>
        <v>0</v>
      </c>
      <c r="AL59" s="283"/>
      <c r="AM59" s="345"/>
      <c r="AN59" s="288"/>
      <c r="AO59" s="285"/>
      <c r="AP59" s="282"/>
      <c r="AQ59" s="282"/>
      <c r="AR59" s="286"/>
      <c r="AS59" s="284">
        <f t="shared" si="18"/>
        <v>0</v>
      </c>
      <c r="AT59" s="283"/>
      <c r="AU59" s="345"/>
      <c r="AV59" s="288"/>
      <c r="AW59" s="285"/>
      <c r="AX59" s="282"/>
      <c r="AY59" s="282"/>
      <c r="AZ59" s="286"/>
      <c r="BA59" s="284">
        <f t="shared" si="19"/>
        <v>0</v>
      </c>
      <c r="BB59" s="283"/>
    </row>
    <row r="60" spans="1:55" s="271" customFormat="1" x14ac:dyDescent="0.2">
      <c r="A60" s="272"/>
      <c r="B60" s="273" t="s">
        <v>158</v>
      </c>
      <c r="C60" s="274">
        <v>5742.57</v>
      </c>
      <c r="D60" s="278">
        <v>4903.88</v>
      </c>
      <c r="E60" s="276">
        <v>13740</v>
      </c>
      <c r="F60" s="277">
        <v>5900</v>
      </c>
      <c r="G60" s="278">
        <v>4065.96</v>
      </c>
      <c r="H60" s="413"/>
      <c r="I60" s="280">
        <v>3300</v>
      </c>
      <c r="J60" s="278"/>
      <c r="K60" s="278">
        <v>3223.19</v>
      </c>
      <c r="L60" s="413"/>
      <c r="M60" s="277">
        <v>2500</v>
      </c>
      <c r="N60" s="278"/>
      <c r="O60" s="353">
        <v>2359.02</v>
      </c>
      <c r="P60" s="482"/>
      <c r="Q60" s="351">
        <v>2200</v>
      </c>
      <c r="R60" s="483"/>
      <c r="S60" s="441">
        <v>1483</v>
      </c>
      <c r="T60" s="482"/>
      <c r="U60" s="280">
        <v>1500</v>
      </c>
      <c r="V60" s="278"/>
      <c r="W60" s="287">
        <v>579.95000000000005</v>
      </c>
      <c r="X60" s="415"/>
      <c r="Y60" s="277">
        <v>390</v>
      </c>
      <c r="Z60" s="278"/>
      <c r="AA60" s="282"/>
      <c r="AB60" s="278"/>
      <c r="AC60" s="285">
        <f t="shared" si="16"/>
        <v>390</v>
      </c>
      <c r="AD60" s="414"/>
      <c r="AE60" s="416">
        <v>197.08</v>
      </c>
      <c r="AF60" s="415"/>
      <c r="AG60" s="280">
        <v>50</v>
      </c>
      <c r="AH60" s="278"/>
      <c r="AI60" s="282"/>
      <c r="AJ60" s="414"/>
      <c r="AK60" s="284">
        <f t="shared" si="17"/>
        <v>50</v>
      </c>
      <c r="AL60" s="413"/>
      <c r="AM60" s="416">
        <v>420.42</v>
      </c>
      <c r="AN60" s="415"/>
      <c r="AO60" s="280"/>
      <c r="AP60" s="278"/>
      <c r="AQ60" s="282"/>
      <c r="AR60" s="414"/>
      <c r="AS60" s="284">
        <f t="shared" si="18"/>
        <v>0</v>
      </c>
      <c r="AT60" s="413"/>
      <c r="AU60" s="345">
        <v>492.93</v>
      </c>
      <c r="AV60" s="415"/>
      <c r="AW60" s="280">
        <v>500</v>
      </c>
      <c r="AX60" s="278"/>
      <c r="AY60" s="282"/>
      <c r="AZ60" s="414"/>
      <c r="BA60" s="284">
        <f t="shared" si="19"/>
        <v>500</v>
      </c>
      <c r="BB60" s="413"/>
    </row>
    <row r="61" spans="1:55" s="271" customFormat="1" x14ac:dyDescent="0.2">
      <c r="A61" s="480">
        <v>67</v>
      </c>
      <c r="B61" s="273" t="s">
        <v>159</v>
      </c>
      <c r="C61" s="274"/>
      <c r="D61" s="275">
        <v>150</v>
      </c>
      <c r="E61" s="276"/>
      <c r="F61" s="277">
        <v>150</v>
      </c>
      <c r="G61" s="281"/>
      <c r="H61" s="279"/>
      <c r="I61" s="476"/>
      <c r="J61" s="281"/>
      <c r="K61" s="282"/>
      <c r="L61" s="283"/>
      <c r="M61" s="284"/>
      <c r="N61" s="282"/>
      <c r="O61" s="292"/>
      <c r="P61" s="440"/>
      <c r="Q61" s="441"/>
      <c r="R61" s="343"/>
      <c r="S61" s="441">
        <v>0</v>
      </c>
      <c r="T61" s="440"/>
      <c r="U61" s="285"/>
      <c r="V61" s="282"/>
      <c r="W61" s="287"/>
      <c r="X61" s="288"/>
      <c r="Y61" s="284"/>
      <c r="Z61" s="282"/>
      <c r="AA61" s="282"/>
      <c r="AB61" s="282"/>
      <c r="AC61" s="285">
        <f t="shared" si="16"/>
        <v>0</v>
      </c>
      <c r="AD61" s="286"/>
      <c r="AE61" s="345">
        <v>0</v>
      </c>
      <c r="AF61" s="288"/>
      <c r="AG61" s="285"/>
      <c r="AH61" s="282"/>
      <c r="AI61" s="282"/>
      <c r="AJ61" s="286"/>
      <c r="AK61" s="284">
        <f t="shared" si="17"/>
        <v>0</v>
      </c>
      <c r="AL61" s="283"/>
      <c r="AM61" s="345">
        <v>158</v>
      </c>
      <c r="AN61" s="288"/>
      <c r="AO61" s="285"/>
      <c r="AP61" s="282"/>
      <c r="AQ61" s="282"/>
      <c r="AR61" s="286"/>
      <c r="AS61" s="284">
        <f t="shared" si="18"/>
        <v>0</v>
      </c>
      <c r="AT61" s="283"/>
      <c r="AU61" s="416">
        <v>45</v>
      </c>
      <c r="AV61" s="288"/>
      <c r="AW61" s="285"/>
      <c r="AX61" s="282"/>
      <c r="AY61" s="282"/>
      <c r="AZ61" s="286"/>
      <c r="BA61" s="284">
        <f t="shared" si="19"/>
        <v>0</v>
      </c>
      <c r="BB61" s="283"/>
    </row>
    <row r="62" spans="1:55" s="271" customFormat="1" ht="16.5" thickBot="1" x14ac:dyDescent="0.25">
      <c r="A62" s="484"/>
      <c r="B62" s="385" t="s">
        <v>160</v>
      </c>
      <c r="C62" s="386">
        <v>871</v>
      </c>
      <c r="D62" s="305">
        <v>8635.49</v>
      </c>
      <c r="E62" s="485"/>
      <c r="F62" s="304">
        <v>900</v>
      </c>
      <c r="G62" s="305">
        <v>132.6</v>
      </c>
      <c r="H62" s="486"/>
      <c r="I62" s="487"/>
      <c r="J62" s="388"/>
      <c r="K62" s="488">
        <v>4.8</v>
      </c>
      <c r="L62" s="489"/>
      <c r="M62" s="311"/>
      <c r="N62" s="488"/>
      <c r="O62" s="490">
        <v>6.76</v>
      </c>
      <c r="P62" s="491"/>
      <c r="Q62" s="492"/>
      <c r="R62" s="493"/>
      <c r="S62" s="441">
        <v>0</v>
      </c>
      <c r="T62" s="491"/>
      <c r="U62" s="306"/>
      <c r="V62" s="488"/>
      <c r="W62" s="287"/>
      <c r="X62" s="494"/>
      <c r="Y62" s="311"/>
      <c r="Z62" s="488"/>
      <c r="AA62" s="488"/>
      <c r="AB62" s="488"/>
      <c r="AC62" s="306">
        <f t="shared" si="16"/>
        <v>0</v>
      </c>
      <c r="AD62" s="495"/>
      <c r="AE62" s="496">
        <v>5896.2</v>
      </c>
      <c r="AF62" s="494"/>
      <c r="AG62" s="306"/>
      <c r="AH62" s="488"/>
      <c r="AI62" s="488"/>
      <c r="AJ62" s="495"/>
      <c r="AK62" s="311">
        <f t="shared" si="17"/>
        <v>0</v>
      </c>
      <c r="AL62" s="489"/>
      <c r="AM62" s="496">
        <f>11425.52+724.29</f>
        <v>12149.810000000001</v>
      </c>
      <c r="AN62" s="494"/>
      <c r="AO62" s="488"/>
      <c r="AP62" s="488"/>
      <c r="AQ62" s="488"/>
      <c r="AR62" s="495"/>
      <c r="AS62" s="284">
        <f t="shared" si="18"/>
        <v>0</v>
      </c>
      <c r="AT62" s="489"/>
      <c r="AU62" s="496"/>
      <c r="AV62" s="494"/>
      <c r="AW62" s="488"/>
      <c r="AX62" s="488"/>
      <c r="AY62" s="488"/>
      <c r="AZ62" s="495"/>
      <c r="BA62" s="284">
        <f t="shared" si="19"/>
        <v>0</v>
      </c>
      <c r="BB62" s="489"/>
    </row>
    <row r="63" spans="1:55" s="271" customFormat="1" ht="16.5" thickBot="1" x14ac:dyDescent="0.25">
      <c r="A63" s="313"/>
      <c r="B63" s="314" t="s">
        <v>112</v>
      </c>
      <c r="C63" s="396"/>
      <c r="D63" s="397"/>
      <c r="E63" s="398">
        <f>SUM(D57:D62)</f>
        <v>13739.89</v>
      </c>
      <c r="F63" s="399"/>
      <c r="G63" s="400"/>
      <c r="H63" s="401">
        <f>SUM(G56:G62)</f>
        <v>4204.87</v>
      </c>
      <c r="I63" s="402"/>
      <c r="J63" s="400">
        <f>SUM(I57:I62)</f>
        <v>3300</v>
      </c>
      <c r="K63" s="400"/>
      <c r="L63" s="401">
        <f>SUM(K56:K62)</f>
        <v>3279.9900000000002</v>
      </c>
      <c r="M63" s="399"/>
      <c r="N63" s="400">
        <f>SUM(M57:M62)</f>
        <v>2555</v>
      </c>
      <c r="O63" s="450"/>
      <c r="P63" s="451">
        <f>SUM(O56:O62)</f>
        <v>2416.7800000000002</v>
      </c>
      <c r="Q63" s="452"/>
      <c r="R63" s="453">
        <f>SUM(Q57:Q62)</f>
        <v>2255</v>
      </c>
      <c r="S63" s="452"/>
      <c r="T63" s="451">
        <f>SUM(S56:S62)</f>
        <v>1518</v>
      </c>
      <c r="U63" s="402"/>
      <c r="V63" s="400">
        <f>SUM(U57:U62)</f>
        <v>1535</v>
      </c>
      <c r="W63" s="403"/>
      <c r="X63" s="404">
        <f>SUM(W56:W62)</f>
        <v>598.51</v>
      </c>
      <c r="Y63" s="399"/>
      <c r="Z63" s="400">
        <f>SUM(Y57:Y62)</f>
        <v>390</v>
      </c>
      <c r="AA63" s="400"/>
      <c r="AB63" s="400">
        <f>SUM(AA57:AA62)</f>
        <v>0</v>
      </c>
      <c r="AC63" s="402"/>
      <c r="AD63" s="398">
        <f>SUM(AC57:AC62)</f>
        <v>390</v>
      </c>
      <c r="AE63" s="315"/>
      <c r="AF63" s="669">
        <f>SUM(AE57:AE62)</f>
        <v>6173.49</v>
      </c>
      <c r="AG63" s="402"/>
      <c r="AH63" s="400">
        <f>SUM(AG57:AG62)</f>
        <v>100</v>
      </c>
      <c r="AI63" s="400"/>
      <c r="AJ63" s="398">
        <f>SUM(AI57:AI62)</f>
        <v>0</v>
      </c>
      <c r="AK63" s="399"/>
      <c r="AL63" s="401">
        <f>SUM(AK57:AK62)</f>
        <v>100</v>
      </c>
      <c r="AM63" s="315"/>
      <c r="AN63" s="669">
        <f>SUM(AM57:AM62)</f>
        <v>12730.750000000002</v>
      </c>
      <c r="AO63" s="319"/>
      <c r="AP63" s="316">
        <f>SUM(AO57:AO62)</f>
        <v>0</v>
      </c>
      <c r="AQ63" s="316"/>
      <c r="AR63" s="317">
        <f>SUM(AQ57:AQ62)</f>
        <v>0</v>
      </c>
      <c r="AS63" s="315"/>
      <c r="AT63" s="318">
        <f>SUM(AS57:AS62)</f>
        <v>0</v>
      </c>
      <c r="AU63" s="315"/>
      <c r="AV63" s="669">
        <f>SUM(AU57:AU62)</f>
        <v>25921.29</v>
      </c>
      <c r="AW63" s="319"/>
      <c r="AX63" s="316">
        <f>SUM(AW57:AW62)</f>
        <v>1300</v>
      </c>
      <c r="AY63" s="316"/>
      <c r="AZ63" s="317">
        <f>SUM(AY57:AY62)</f>
        <v>0</v>
      </c>
      <c r="BA63" s="315"/>
      <c r="BB63" s="318">
        <f>SUM(BA57:BA62)</f>
        <v>1300</v>
      </c>
    </row>
    <row r="64" spans="1:55" s="271" customFormat="1" x14ac:dyDescent="0.2">
      <c r="A64" s="322">
        <v>68</v>
      </c>
      <c r="B64" s="478" t="s">
        <v>14</v>
      </c>
      <c r="C64" s="324"/>
      <c r="D64" s="325"/>
      <c r="E64" s="326"/>
      <c r="F64" s="327"/>
      <c r="G64" s="328"/>
      <c r="H64" s="329"/>
      <c r="I64" s="330"/>
      <c r="J64" s="328"/>
      <c r="K64" s="331"/>
      <c r="L64" s="332"/>
      <c r="M64" s="333"/>
      <c r="N64" s="331"/>
      <c r="O64" s="334"/>
      <c r="P64" s="332"/>
      <c r="Q64" s="333"/>
      <c r="R64" s="335"/>
      <c r="S64" s="333"/>
      <c r="T64" s="332"/>
      <c r="U64" s="334"/>
      <c r="V64" s="331"/>
      <c r="W64" s="334"/>
      <c r="X64" s="332"/>
      <c r="Y64" s="333"/>
      <c r="Z64" s="331"/>
      <c r="AA64" s="331"/>
      <c r="AB64" s="331"/>
      <c r="AC64" s="334"/>
      <c r="AD64" s="335"/>
      <c r="AE64" s="333"/>
      <c r="AF64" s="332"/>
      <c r="AG64" s="334"/>
      <c r="AH64" s="331"/>
      <c r="AI64" s="331"/>
      <c r="AJ64" s="335"/>
      <c r="AK64" s="333"/>
      <c r="AL64" s="332"/>
      <c r="AM64" s="333"/>
      <c r="AN64" s="332"/>
      <c r="AO64" s="334"/>
      <c r="AP64" s="331"/>
      <c r="AQ64" s="331"/>
      <c r="AR64" s="335"/>
      <c r="AS64" s="333"/>
      <c r="AT64" s="332"/>
      <c r="AU64" s="333"/>
      <c r="AV64" s="332"/>
      <c r="AW64" s="334"/>
      <c r="AX64" s="331"/>
      <c r="AY64" s="331"/>
      <c r="AZ64" s="335"/>
      <c r="BA64" s="333"/>
      <c r="BB64" s="332"/>
    </row>
    <row r="65" spans="1:55" s="271" customFormat="1" ht="16.5" thickBot="1" x14ac:dyDescent="0.25">
      <c r="A65" s="479"/>
      <c r="B65" s="295" t="s">
        <v>161</v>
      </c>
      <c r="C65" s="296">
        <v>22170</v>
      </c>
      <c r="D65" s="297">
        <v>27073.66</v>
      </c>
      <c r="E65" s="298"/>
      <c r="F65" s="299">
        <v>29500</v>
      </c>
      <c r="G65" s="297">
        <v>29735.26</v>
      </c>
      <c r="H65" s="300"/>
      <c r="I65" s="301">
        <v>29000</v>
      </c>
      <c r="J65" s="297"/>
      <c r="K65" s="297">
        <v>29299.200000000001</v>
      </c>
      <c r="L65" s="300"/>
      <c r="M65" s="299">
        <v>31000</v>
      </c>
      <c r="N65" s="297"/>
      <c r="O65" s="369">
        <v>25784.14</v>
      </c>
      <c r="P65" s="497"/>
      <c r="Q65" s="367">
        <v>26000</v>
      </c>
      <c r="R65" s="498"/>
      <c r="S65" s="367">
        <v>24589</v>
      </c>
      <c r="T65" s="497"/>
      <c r="U65" s="301">
        <v>25000</v>
      </c>
      <c r="V65" s="297"/>
      <c r="W65" s="499">
        <v>23585.56</v>
      </c>
      <c r="X65" s="303"/>
      <c r="Y65" s="299">
        <v>19000</v>
      </c>
      <c r="Z65" s="297"/>
      <c r="AA65" s="297"/>
      <c r="AB65" s="297"/>
      <c r="AC65" s="301">
        <f>Y65</f>
        <v>19000</v>
      </c>
      <c r="AD65" s="302"/>
      <c r="AE65" s="428">
        <v>18556.29</v>
      </c>
      <c r="AF65" s="500"/>
      <c r="AG65" s="301">
        <v>19100</v>
      </c>
      <c r="AH65" s="297"/>
      <c r="AI65" s="297"/>
      <c r="AJ65" s="302"/>
      <c r="AK65" s="299">
        <f>AG65</f>
        <v>19100</v>
      </c>
      <c r="AL65" s="300"/>
      <c r="AM65" s="428">
        <v>25654</v>
      </c>
      <c r="AN65" s="500"/>
      <c r="AO65" s="301">
        <v>25000</v>
      </c>
      <c r="AP65" s="297"/>
      <c r="AQ65" s="297"/>
      <c r="AR65" s="302"/>
      <c r="AS65" s="284">
        <f>SUM(AO65:AR65)</f>
        <v>25000</v>
      </c>
      <c r="AT65" s="300"/>
      <c r="AU65" s="428">
        <v>26678.52</v>
      </c>
      <c r="AV65" s="500"/>
      <c r="AW65" s="499">
        <v>30000</v>
      </c>
      <c r="AX65" s="297"/>
      <c r="AY65" s="297"/>
      <c r="AZ65" s="302"/>
      <c r="BA65" s="284">
        <f>SUM(AW65:AZ65)</f>
        <v>30000</v>
      </c>
      <c r="BB65" s="300"/>
      <c r="BC65" s="271" t="s">
        <v>162</v>
      </c>
    </row>
    <row r="66" spans="1:55" ht="16.5" thickBot="1" x14ac:dyDescent="0.25">
      <c r="A66" s="313"/>
      <c r="B66" s="314" t="s">
        <v>112</v>
      </c>
      <c r="C66" s="396"/>
      <c r="D66" s="397"/>
      <c r="E66" s="398">
        <f>SUM(D65)</f>
        <v>27073.66</v>
      </c>
      <c r="F66" s="399"/>
      <c r="G66" s="400"/>
      <c r="H66" s="401">
        <f>SUM(G64:G65)</f>
        <v>29735.26</v>
      </c>
      <c r="I66" s="402"/>
      <c r="J66" s="400">
        <f>SUM(I62:I65)</f>
        <v>29000</v>
      </c>
      <c r="K66" s="400"/>
      <c r="L66" s="401">
        <f>SUM(K65)</f>
        <v>29299.200000000001</v>
      </c>
      <c r="M66" s="399"/>
      <c r="N66" s="400">
        <f>SUM(M65)</f>
        <v>31000</v>
      </c>
      <c r="O66" s="450"/>
      <c r="P66" s="451">
        <f>SUM(O65)</f>
        <v>25784.14</v>
      </c>
      <c r="Q66" s="452"/>
      <c r="R66" s="453">
        <f>SUM(Q65)</f>
        <v>26000</v>
      </c>
      <c r="S66" s="452"/>
      <c r="T66" s="451">
        <f>SUM(S65)</f>
        <v>24589</v>
      </c>
      <c r="U66" s="402"/>
      <c r="V66" s="400">
        <f>SUM(U65)</f>
        <v>25000</v>
      </c>
      <c r="W66" s="403"/>
      <c r="X66" s="404">
        <f>SUM(W65)</f>
        <v>23585.56</v>
      </c>
      <c r="Y66" s="399"/>
      <c r="Z66" s="400">
        <f>SUM(Y65)</f>
        <v>19000</v>
      </c>
      <c r="AA66" s="400"/>
      <c r="AB66" s="400"/>
      <c r="AC66" s="402"/>
      <c r="AD66" s="398">
        <f>SUM(AC65)</f>
        <v>19000</v>
      </c>
      <c r="AE66" s="315"/>
      <c r="AF66" s="669">
        <f>SUM(AE65)</f>
        <v>18556.29</v>
      </c>
      <c r="AG66" s="402"/>
      <c r="AH66" s="400">
        <f>SUM(AG65)</f>
        <v>19100</v>
      </c>
      <c r="AI66" s="400"/>
      <c r="AJ66" s="398">
        <f>SUM(AI65)</f>
        <v>0</v>
      </c>
      <c r="AK66" s="399"/>
      <c r="AL66" s="401">
        <f>SUM(AK65)</f>
        <v>19100</v>
      </c>
      <c r="AM66" s="315"/>
      <c r="AN66" s="669">
        <v>25653.79</v>
      </c>
      <c r="AO66" s="319"/>
      <c r="AP66" s="316">
        <f>SUM(AO65)</f>
        <v>25000</v>
      </c>
      <c r="AQ66" s="316"/>
      <c r="AR66" s="317">
        <f>SUM(AQ65)</f>
        <v>0</v>
      </c>
      <c r="AS66" s="315"/>
      <c r="AT66" s="318">
        <f>SUM(AS65)</f>
        <v>25000</v>
      </c>
      <c r="AU66" s="315"/>
      <c r="AV66" s="669">
        <f>AU65</f>
        <v>26678.52</v>
      </c>
      <c r="AW66" s="319"/>
      <c r="AX66" s="316">
        <f>SUM(AW65)</f>
        <v>30000</v>
      </c>
      <c r="AY66" s="316"/>
      <c r="AZ66" s="317">
        <f>SUM(AY65)</f>
        <v>0</v>
      </c>
      <c r="BA66" s="315"/>
      <c r="BB66" s="318">
        <f>SUM(BA65)</f>
        <v>30000</v>
      </c>
    </row>
    <row r="67" spans="1:55" ht="16.5" thickBot="1" x14ac:dyDescent="0.25">
      <c r="A67" s="501"/>
      <c r="B67" s="502"/>
      <c r="C67" s="503"/>
      <c r="D67" s="504"/>
      <c r="E67" s="505"/>
      <c r="F67" s="503"/>
      <c r="G67" s="504"/>
      <c r="H67" s="506"/>
      <c r="I67" s="507"/>
      <c r="J67" s="504"/>
      <c r="K67" s="508"/>
      <c r="L67" s="509"/>
      <c r="M67" s="510"/>
      <c r="N67" s="511"/>
      <c r="O67" s="512"/>
      <c r="P67" s="509"/>
      <c r="Q67" s="510"/>
      <c r="S67" s="510"/>
      <c r="T67" s="509"/>
      <c r="U67" s="512"/>
      <c r="V67" s="511"/>
      <c r="W67" s="512"/>
      <c r="X67" s="509"/>
      <c r="Y67" s="510"/>
      <c r="Z67" s="511"/>
      <c r="AA67" s="508"/>
      <c r="AB67" s="511"/>
      <c r="AC67" s="512"/>
      <c r="AE67" s="513"/>
      <c r="AF67" s="514"/>
      <c r="AG67" s="512"/>
      <c r="AH67" s="511"/>
      <c r="AI67" s="508"/>
      <c r="AK67" s="510"/>
      <c r="AL67" s="514"/>
      <c r="AM67" s="513"/>
      <c r="AN67" s="514"/>
      <c r="AO67" s="512"/>
      <c r="AP67" s="511"/>
      <c r="AQ67" s="508"/>
      <c r="AR67" s="515"/>
      <c r="AS67" s="510"/>
      <c r="AT67" s="514"/>
      <c r="AU67" s="513"/>
      <c r="AV67" s="514"/>
      <c r="AW67" s="512"/>
      <c r="AX67" s="511"/>
      <c r="AY67" s="508"/>
      <c r="AZ67" s="515"/>
      <c r="BA67" s="510"/>
      <c r="BB67" s="514"/>
    </row>
    <row r="68" spans="1:55" ht="16.5" thickBot="1" x14ac:dyDescent="0.25">
      <c r="A68" s="313"/>
      <c r="B68" s="439" t="s">
        <v>15</v>
      </c>
      <c r="C68" s="399">
        <f>SUM(C4:C66)</f>
        <v>262624.25</v>
      </c>
      <c r="D68" s="400">
        <f>SUM(D4:D66)</f>
        <v>299876.56999999995</v>
      </c>
      <c r="E68" s="398">
        <f>E66+E63+E55+E45+E36+E31+E23+E10</f>
        <v>299876.57</v>
      </c>
      <c r="F68" s="399">
        <f>SUM(F5:F66)</f>
        <v>287650</v>
      </c>
      <c r="G68" s="400">
        <f>SUM(G5:G66)</f>
        <v>298684.88</v>
      </c>
      <c r="H68" s="401">
        <f>H66+H63+H55+H45+H36+H31+H23+H10</f>
        <v>298684.88</v>
      </c>
      <c r="I68" s="402">
        <f>SUM(I5:I66)</f>
        <v>290450</v>
      </c>
      <c r="J68" s="400">
        <f t="shared" ref="J68:BB68" si="20">SUM(J5:J67)</f>
        <v>290450</v>
      </c>
      <c r="K68" s="400">
        <f t="shared" si="20"/>
        <v>305703.2</v>
      </c>
      <c r="L68" s="401">
        <f t="shared" si="20"/>
        <v>305703.2</v>
      </c>
      <c r="M68" s="399">
        <f t="shared" si="20"/>
        <v>307455</v>
      </c>
      <c r="N68" s="400">
        <f t="shared" si="20"/>
        <v>307455</v>
      </c>
      <c r="O68" s="402">
        <f t="shared" si="20"/>
        <v>239267.96000000002</v>
      </c>
      <c r="P68" s="401">
        <f t="shared" si="20"/>
        <v>239267.95999999996</v>
      </c>
      <c r="Q68" s="399">
        <f t="shared" si="20"/>
        <v>263155</v>
      </c>
      <c r="R68" s="398">
        <f t="shared" si="20"/>
        <v>263155</v>
      </c>
      <c r="S68" s="399">
        <f t="shared" si="20"/>
        <v>279541</v>
      </c>
      <c r="T68" s="401">
        <f t="shared" si="20"/>
        <v>279541</v>
      </c>
      <c r="U68" s="402">
        <f t="shared" si="20"/>
        <v>314445</v>
      </c>
      <c r="V68" s="400">
        <f t="shared" si="20"/>
        <v>314445</v>
      </c>
      <c r="W68" s="402">
        <f t="shared" si="20"/>
        <v>335192.26</v>
      </c>
      <c r="X68" s="401">
        <f t="shared" si="20"/>
        <v>335192.26</v>
      </c>
      <c r="Y68" s="399">
        <f t="shared" si="20"/>
        <v>315450</v>
      </c>
      <c r="Z68" s="400">
        <f t="shared" si="20"/>
        <v>315450</v>
      </c>
      <c r="AA68" s="400">
        <f t="shared" si="20"/>
        <v>40000</v>
      </c>
      <c r="AB68" s="400">
        <f t="shared" si="20"/>
        <v>40000</v>
      </c>
      <c r="AC68" s="402">
        <f t="shared" si="20"/>
        <v>355450</v>
      </c>
      <c r="AD68" s="398">
        <f t="shared" si="20"/>
        <v>355450</v>
      </c>
      <c r="AE68" s="315">
        <f t="shared" si="20"/>
        <v>352000.83999999997</v>
      </c>
      <c r="AF68" s="318">
        <f t="shared" si="20"/>
        <v>352000.84</v>
      </c>
      <c r="AG68" s="402">
        <f t="shared" si="20"/>
        <v>333900</v>
      </c>
      <c r="AH68" s="400">
        <f t="shared" si="20"/>
        <v>333900</v>
      </c>
      <c r="AI68" s="400">
        <f t="shared" si="20"/>
        <v>28800</v>
      </c>
      <c r="AJ68" s="398">
        <f t="shared" si="20"/>
        <v>28800</v>
      </c>
      <c r="AK68" s="399">
        <f t="shared" si="20"/>
        <v>362700</v>
      </c>
      <c r="AL68" s="401">
        <f t="shared" si="20"/>
        <v>362700</v>
      </c>
      <c r="AM68" s="315">
        <f t="shared" si="20"/>
        <v>395761.00999999995</v>
      </c>
      <c r="AN68" s="315">
        <f t="shared" si="20"/>
        <v>395760.8</v>
      </c>
      <c r="AO68" s="315">
        <f t="shared" si="20"/>
        <v>394200</v>
      </c>
      <c r="AP68" s="315">
        <f t="shared" si="20"/>
        <v>394200</v>
      </c>
      <c r="AQ68" s="315">
        <f t="shared" si="20"/>
        <v>27800</v>
      </c>
      <c r="AR68" s="315">
        <f t="shared" si="20"/>
        <v>27800</v>
      </c>
      <c r="AS68" s="315">
        <f t="shared" si="20"/>
        <v>422000</v>
      </c>
      <c r="AT68" s="516">
        <f t="shared" si="20"/>
        <v>422000</v>
      </c>
      <c r="AU68" s="315">
        <f t="shared" si="20"/>
        <v>423199.54000000004</v>
      </c>
      <c r="AV68" s="315">
        <f>SUM(AV5:AV67)</f>
        <v>423199.54</v>
      </c>
      <c r="AW68" s="315">
        <f t="shared" si="20"/>
        <v>400200</v>
      </c>
      <c r="AX68" s="315">
        <f t="shared" si="20"/>
        <v>400200</v>
      </c>
      <c r="AY68" s="315">
        <f t="shared" si="20"/>
        <v>29000</v>
      </c>
      <c r="AZ68" s="315">
        <f t="shared" si="20"/>
        <v>29000</v>
      </c>
      <c r="BA68" s="315">
        <f t="shared" si="20"/>
        <v>429200</v>
      </c>
      <c r="BB68" s="516">
        <f t="shared" si="20"/>
        <v>429200</v>
      </c>
    </row>
    <row r="69" spans="1:55" x14ac:dyDescent="0.2">
      <c r="A69" s="517"/>
      <c r="B69" s="518"/>
      <c r="C69" s="519"/>
      <c r="D69" s="520"/>
      <c r="E69" s="521"/>
      <c r="F69" s="519"/>
      <c r="G69" s="520"/>
      <c r="H69" s="522"/>
      <c r="I69" s="523"/>
      <c r="J69" s="520"/>
      <c r="K69" s="524"/>
      <c r="L69" s="525"/>
      <c r="M69" s="526"/>
      <c r="N69" s="524"/>
      <c r="O69" s="527"/>
      <c r="P69" s="525"/>
      <c r="Q69" s="526"/>
      <c r="R69" s="528"/>
      <c r="S69" s="526"/>
      <c r="T69" s="525"/>
      <c r="U69" s="527"/>
      <c r="V69" s="524"/>
      <c r="W69" s="527"/>
      <c r="X69" s="525"/>
      <c r="Y69" s="526"/>
      <c r="Z69" s="524"/>
      <c r="AA69" s="524"/>
      <c r="AB69" s="524"/>
      <c r="AC69" s="527"/>
      <c r="AD69" s="528"/>
      <c r="AE69" s="526"/>
      <c r="AF69" s="529"/>
      <c r="AG69" s="527"/>
      <c r="AH69" s="524"/>
      <c r="AI69" s="524"/>
      <c r="AJ69" s="528"/>
      <c r="AK69" s="526"/>
      <c r="AL69" s="525"/>
      <c r="AM69" s="526"/>
      <c r="AN69" s="529"/>
      <c r="AO69" s="527"/>
      <c r="AP69" s="524"/>
      <c r="AQ69" s="524"/>
      <c r="AR69" s="528"/>
      <c r="AS69" s="526"/>
      <c r="AT69" s="525"/>
      <c r="AU69" s="526"/>
      <c r="AV69" s="529"/>
      <c r="AW69" s="527"/>
      <c r="AX69" s="524"/>
      <c r="AY69" s="524"/>
      <c r="AZ69" s="528"/>
      <c r="BA69" s="526"/>
      <c r="BB69" s="525"/>
    </row>
    <row r="70" spans="1:55" x14ac:dyDescent="0.2">
      <c r="A70" s="480">
        <v>86</v>
      </c>
      <c r="B70" s="530" t="s">
        <v>9</v>
      </c>
      <c r="C70" s="531">
        <v>255000</v>
      </c>
      <c r="D70" s="532">
        <v>255000</v>
      </c>
      <c r="E70" s="533">
        <v>255000</v>
      </c>
      <c r="F70" s="534">
        <v>255000</v>
      </c>
      <c r="G70" s="532">
        <v>255000</v>
      </c>
      <c r="H70" s="535">
        <v>255000</v>
      </c>
      <c r="I70" s="536">
        <v>255000</v>
      </c>
      <c r="J70" s="537">
        <v>255000</v>
      </c>
      <c r="K70" s="538">
        <v>255000</v>
      </c>
      <c r="L70" s="539">
        <v>255000</v>
      </c>
      <c r="M70" s="540">
        <v>255000</v>
      </c>
      <c r="N70" s="538">
        <v>255000</v>
      </c>
      <c r="O70" s="541">
        <v>255000</v>
      </c>
      <c r="P70" s="539">
        <v>255000</v>
      </c>
      <c r="Q70" s="540">
        <v>255000</v>
      </c>
      <c r="R70" s="542">
        <v>255000</v>
      </c>
      <c r="S70" s="540">
        <v>255000</v>
      </c>
      <c r="T70" s="539">
        <v>255000</v>
      </c>
      <c r="U70" s="541">
        <v>255000</v>
      </c>
      <c r="V70" s="538">
        <v>255000</v>
      </c>
      <c r="W70" s="541">
        <v>255000</v>
      </c>
      <c r="X70" s="539">
        <v>255000</v>
      </c>
      <c r="Y70" s="540">
        <v>255000</v>
      </c>
      <c r="Z70" s="538">
        <v>255000</v>
      </c>
      <c r="AA70" s="538">
        <v>9900</v>
      </c>
      <c r="AB70" s="538">
        <v>9900</v>
      </c>
      <c r="AC70" s="543">
        <f>Y70+AA70</f>
        <v>264900</v>
      </c>
      <c r="AD70" s="542">
        <f>Z70+AB70</f>
        <v>264900</v>
      </c>
      <c r="AE70" s="540">
        <f>AC70</f>
        <v>264900</v>
      </c>
      <c r="AF70" s="539">
        <f>AD70</f>
        <v>264900</v>
      </c>
      <c r="AG70" s="541">
        <v>255000</v>
      </c>
      <c r="AH70" s="538">
        <v>255000</v>
      </c>
      <c r="AI70" s="538">
        <v>9900</v>
      </c>
      <c r="AJ70" s="542">
        <v>9900</v>
      </c>
      <c r="AK70" s="544">
        <f>AG70+AI70</f>
        <v>264900</v>
      </c>
      <c r="AL70" s="539">
        <f>AH70+AJ70</f>
        <v>264900</v>
      </c>
      <c r="AM70" s="540">
        <v>264900</v>
      </c>
      <c r="AN70" s="539">
        <v>264900</v>
      </c>
      <c r="AO70" s="541">
        <v>255000</v>
      </c>
      <c r="AP70" s="538">
        <v>255000</v>
      </c>
      <c r="AQ70" s="538">
        <v>9900</v>
      </c>
      <c r="AR70" s="542">
        <v>9900</v>
      </c>
      <c r="AS70" s="544">
        <v>264900</v>
      </c>
      <c r="AT70" s="539">
        <v>264900</v>
      </c>
      <c r="AU70" s="540">
        <v>264900</v>
      </c>
      <c r="AV70" s="539">
        <v>264900</v>
      </c>
      <c r="AW70" s="541">
        <v>255000</v>
      </c>
      <c r="AX70" s="538">
        <v>255000</v>
      </c>
      <c r="AY70" s="538">
        <v>9900</v>
      </c>
      <c r="AZ70" s="542">
        <v>9900</v>
      </c>
      <c r="BA70" s="544">
        <v>264900</v>
      </c>
      <c r="BB70" s="539">
        <v>264900</v>
      </c>
    </row>
    <row r="71" spans="1:55" ht="16.5" thickBot="1" x14ac:dyDescent="0.25">
      <c r="A71" s="545"/>
      <c r="B71" s="546"/>
      <c r="C71" s="547"/>
      <c r="D71" s="548"/>
      <c r="E71" s="549"/>
      <c r="F71" s="547"/>
      <c r="G71" s="548"/>
      <c r="H71" s="550"/>
      <c r="I71" s="551"/>
      <c r="J71" s="548"/>
      <c r="K71" s="552"/>
      <c r="L71" s="553"/>
      <c r="M71" s="554"/>
      <c r="N71" s="552"/>
      <c r="O71" s="555"/>
      <c r="P71" s="553"/>
      <c r="Q71" s="554"/>
      <c r="R71" s="556"/>
      <c r="S71" s="554"/>
      <c r="T71" s="553"/>
      <c r="U71" s="555"/>
      <c r="V71" s="552"/>
      <c r="W71" s="555"/>
      <c r="X71" s="553"/>
      <c r="Y71" s="554"/>
      <c r="Z71" s="552"/>
      <c r="AA71" s="552"/>
      <c r="AB71" s="552"/>
      <c r="AC71" s="555"/>
      <c r="AD71" s="556"/>
      <c r="AE71" s="554"/>
      <c r="AF71" s="557"/>
      <c r="AG71" s="555"/>
      <c r="AH71" s="552"/>
      <c r="AI71" s="552"/>
      <c r="AJ71" s="556"/>
      <c r="AK71" s="554"/>
      <c r="AL71" s="553"/>
      <c r="AM71" s="554"/>
      <c r="AN71" s="557"/>
      <c r="AO71" s="555"/>
      <c r="AP71" s="552"/>
      <c r="AQ71" s="552"/>
      <c r="AR71" s="556"/>
      <c r="AS71" s="554"/>
      <c r="AT71" s="553"/>
      <c r="AU71" s="554"/>
      <c r="AV71" s="557"/>
      <c r="AW71" s="555"/>
      <c r="AX71" s="552"/>
      <c r="AY71" s="552"/>
      <c r="AZ71" s="556"/>
      <c r="BA71" s="554"/>
      <c r="BB71" s="553"/>
    </row>
    <row r="72" spans="1:55" ht="19.5" thickBot="1" x14ac:dyDescent="0.25">
      <c r="A72" s="558"/>
      <c r="B72" s="559" t="s">
        <v>18</v>
      </c>
      <c r="C72" s="560">
        <f t="shared" ref="C72:BB72" si="21">SUM(C68:C71)</f>
        <v>517624.25</v>
      </c>
      <c r="D72" s="561">
        <f t="shared" si="21"/>
        <v>554876.56999999995</v>
      </c>
      <c r="E72" s="562">
        <f t="shared" si="21"/>
        <v>554876.57000000007</v>
      </c>
      <c r="F72" s="560">
        <f t="shared" si="21"/>
        <v>542650</v>
      </c>
      <c r="G72" s="561">
        <f t="shared" si="21"/>
        <v>553684.88</v>
      </c>
      <c r="H72" s="563">
        <f t="shared" si="21"/>
        <v>553684.88</v>
      </c>
      <c r="I72" s="564">
        <f t="shared" si="21"/>
        <v>545450</v>
      </c>
      <c r="J72" s="561">
        <f t="shared" si="21"/>
        <v>545450</v>
      </c>
      <c r="K72" s="561">
        <f t="shared" si="21"/>
        <v>560703.19999999995</v>
      </c>
      <c r="L72" s="563">
        <f t="shared" si="21"/>
        <v>560703.19999999995</v>
      </c>
      <c r="M72" s="560">
        <f t="shared" si="21"/>
        <v>562455</v>
      </c>
      <c r="N72" s="561">
        <f t="shared" si="21"/>
        <v>562455</v>
      </c>
      <c r="O72" s="564">
        <f t="shared" si="21"/>
        <v>494267.96</v>
      </c>
      <c r="P72" s="563">
        <f t="shared" si="21"/>
        <v>494267.95999999996</v>
      </c>
      <c r="Q72" s="560">
        <f t="shared" si="21"/>
        <v>518155</v>
      </c>
      <c r="R72" s="562">
        <f t="shared" si="21"/>
        <v>518155</v>
      </c>
      <c r="S72" s="560">
        <f t="shared" si="21"/>
        <v>534541</v>
      </c>
      <c r="T72" s="563">
        <f t="shared" si="21"/>
        <v>534541</v>
      </c>
      <c r="U72" s="564">
        <f t="shared" si="21"/>
        <v>569445</v>
      </c>
      <c r="V72" s="561">
        <f t="shared" si="21"/>
        <v>569445</v>
      </c>
      <c r="W72" s="564">
        <f t="shared" si="21"/>
        <v>590192.26</v>
      </c>
      <c r="X72" s="563">
        <f t="shared" si="21"/>
        <v>590192.26</v>
      </c>
      <c r="Y72" s="560">
        <f t="shared" si="21"/>
        <v>570450</v>
      </c>
      <c r="Z72" s="561">
        <f t="shared" si="21"/>
        <v>570450</v>
      </c>
      <c r="AA72" s="561">
        <f t="shared" si="21"/>
        <v>49900</v>
      </c>
      <c r="AB72" s="561">
        <f t="shared" si="21"/>
        <v>49900</v>
      </c>
      <c r="AC72" s="564">
        <f t="shared" si="21"/>
        <v>620350</v>
      </c>
      <c r="AD72" s="562">
        <f t="shared" si="21"/>
        <v>620350</v>
      </c>
      <c r="AE72" s="560">
        <f t="shared" si="21"/>
        <v>616900.84</v>
      </c>
      <c r="AF72" s="565">
        <f t="shared" si="21"/>
        <v>616900.84000000008</v>
      </c>
      <c r="AG72" s="564">
        <f t="shared" si="21"/>
        <v>588900</v>
      </c>
      <c r="AH72" s="561">
        <f t="shared" si="21"/>
        <v>588900</v>
      </c>
      <c r="AI72" s="561">
        <f t="shared" si="21"/>
        <v>38700</v>
      </c>
      <c r="AJ72" s="562">
        <f t="shared" si="21"/>
        <v>38700</v>
      </c>
      <c r="AK72" s="560">
        <f t="shared" si="21"/>
        <v>627600</v>
      </c>
      <c r="AL72" s="563">
        <f t="shared" si="21"/>
        <v>627600</v>
      </c>
      <c r="AM72" s="560">
        <f t="shared" si="21"/>
        <v>660661.01</v>
      </c>
      <c r="AN72" s="560">
        <f t="shared" si="21"/>
        <v>660660.80000000005</v>
      </c>
      <c r="AO72" s="560">
        <f t="shared" si="21"/>
        <v>649200</v>
      </c>
      <c r="AP72" s="560">
        <f t="shared" si="21"/>
        <v>649200</v>
      </c>
      <c r="AQ72" s="560">
        <f t="shared" si="21"/>
        <v>37700</v>
      </c>
      <c r="AR72" s="560">
        <f t="shared" si="21"/>
        <v>37700</v>
      </c>
      <c r="AS72" s="560">
        <f t="shared" si="21"/>
        <v>686900</v>
      </c>
      <c r="AT72" s="566">
        <f t="shared" si="21"/>
        <v>686900</v>
      </c>
      <c r="AU72" s="560">
        <f t="shared" si="21"/>
        <v>688099.54</v>
      </c>
      <c r="AV72" s="560">
        <f t="shared" si="21"/>
        <v>688099.54</v>
      </c>
      <c r="AW72" s="560">
        <f t="shared" si="21"/>
        <v>655200</v>
      </c>
      <c r="AX72" s="560">
        <f t="shared" si="21"/>
        <v>655200</v>
      </c>
      <c r="AY72" s="560">
        <f t="shared" si="21"/>
        <v>38900</v>
      </c>
      <c r="AZ72" s="560">
        <f t="shared" si="21"/>
        <v>38900</v>
      </c>
      <c r="BA72" s="560">
        <f t="shared" si="21"/>
        <v>694100</v>
      </c>
      <c r="BB72" s="566">
        <f t="shared" si="21"/>
        <v>694100</v>
      </c>
    </row>
    <row r="73" spans="1:55" ht="16.5" thickBot="1" x14ac:dyDescent="0.25">
      <c r="A73" s="567"/>
      <c r="B73" s="568"/>
      <c r="C73" s="568"/>
      <c r="D73" s="568"/>
      <c r="E73" s="568"/>
      <c r="F73" s="567"/>
      <c r="G73" s="568"/>
      <c r="H73" s="569"/>
      <c r="I73" s="568"/>
      <c r="J73" s="568"/>
      <c r="K73" s="568"/>
      <c r="L73" s="568"/>
      <c r="M73" s="568"/>
      <c r="R73" s="568"/>
      <c r="S73" s="567"/>
      <c r="T73" s="569"/>
      <c r="V73" s="568"/>
      <c r="W73" s="568"/>
      <c r="X73" s="568"/>
      <c r="Z73" s="568"/>
      <c r="AA73" s="568"/>
      <c r="AB73" s="568"/>
      <c r="AE73" s="570"/>
      <c r="AF73" s="514"/>
      <c r="AK73" s="570"/>
      <c r="AL73" s="514"/>
      <c r="AM73" s="570"/>
      <c r="AN73" s="514"/>
      <c r="AO73" s="515"/>
      <c r="AP73" s="515"/>
      <c r="AQ73" s="515"/>
      <c r="AR73" s="515"/>
      <c r="AS73" s="570"/>
      <c r="AT73" s="514"/>
      <c r="AU73" s="570"/>
      <c r="AV73" s="514"/>
      <c r="AW73" s="515"/>
      <c r="AX73" s="515"/>
      <c r="AY73" s="515"/>
      <c r="AZ73" s="515"/>
      <c r="BA73" s="570"/>
      <c r="BB73" s="514"/>
    </row>
    <row r="74" spans="1:55" s="579" customFormat="1" ht="14.25" customHeight="1" x14ac:dyDescent="0.2">
      <c r="A74" s="571"/>
      <c r="B74" s="743" t="s">
        <v>4</v>
      </c>
      <c r="C74" s="572" t="s">
        <v>1</v>
      </c>
      <c r="D74" s="573" t="s">
        <v>1</v>
      </c>
      <c r="E74" s="574" t="s">
        <v>2</v>
      </c>
      <c r="F74" s="572" t="s">
        <v>5</v>
      </c>
      <c r="G74" s="573" t="s">
        <v>2</v>
      </c>
      <c r="H74" s="575" t="s">
        <v>2</v>
      </c>
      <c r="I74" s="572" t="s">
        <v>5</v>
      </c>
      <c r="J74" s="573" t="s">
        <v>5</v>
      </c>
      <c r="K74" s="573" t="s">
        <v>1</v>
      </c>
      <c r="L74" s="575" t="s">
        <v>2</v>
      </c>
      <c r="M74" s="572" t="s">
        <v>5</v>
      </c>
      <c r="N74" s="573" t="s">
        <v>5</v>
      </c>
      <c r="O74" s="576" t="s">
        <v>1</v>
      </c>
      <c r="P74" s="575" t="s">
        <v>2</v>
      </c>
      <c r="Q74" s="572" t="s">
        <v>5</v>
      </c>
      <c r="R74" s="574" t="s">
        <v>5</v>
      </c>
      <c r="S74" s="572" t="s">
        <v>1</v>
      </c>
      <c r="T74" s="575" t="s">
        <v>2</v>
      </c>
      <c r="U74" s="576" t="s">
        <v>5</v>
      </c>
      <c r="V74" s="573" t="s">
        <v>5</v>
      </c>
      <c r="W74" s="576" t="s">
        <v>1</v>
      </c>
      <c r="X74" s="575" t="s">
        <v>2</v>
      </c>
      <c r="Y74" s="572" t="s">
        <v>5</v>
      </c>
      <c r="Z74" s="573" t="s">
        <v>5</v>
      </c>
      <c r="AA74" s="573" t="s">
        <v>105</v>
      </c>
      <c r="AB74" s="576" t="s">
        <v>105</v>
      </c>
      <c r="AC74" s="576" t="s">
        <v>163</v>
      </c>
      <c r="AD74" s="577" t="s">
        <v>163</v>
      </c>
      <c r="AE74" s="572" t="s">
        <v>1</v>
      </c>
      <c r="AF74" s="575" t="s">
        <v>2</v>
      </c>
      <c r="AG74" s="576" t="s">
        <v>5</v>
      </c>
      <c r="AH74" s="573" t="s">
        <v>5</v>
      </c>
      <c r="AI74" s="573" t="s">
        <v>105</v>
      </c>
      <c r="AJ74" s="577" t="s">
        <v>105</v>
      </c>
      <c r="AK74" s="572" t="s">
        <v>163</v>
      </c>
      <c r="AL74" s="578" t="s">
        <v>163</v>
      </c>
      <c r="AM74" s="572" t="s">
        <v>1</v>
      </c>
      <c r="AN74" s="575" t="s">
        <v>2</v>
      </c>
      <c r="AO74" s="576" t="s">
        <v>5</v>
      </c>
      <c r="AP74" s="573" t="s">
        <v>5</v>
      </c>
      <c r="AQ74" s="573" t="s">
        <v>105</v>
      </c>
      <c r="AR74" s="577" t="s">
        <v>105</v>
      </c>
      <c r="AS74" s="572" t="s">
        <v>163</v>
      </c>
      <c r="AT74" s="578" t="s">
        <v>163</v>
      </c>
      <c r="AU74" s="572" t="s">
        <v>1</v>
      </c>
      <c r="AV74" s="575" t="s">
        <v>2</v>
      </c>
      <c r="AW74" s="576" t="s">
        <v>5</v>
      </c>
      <c r="AX74" s="573" t="s">
        <v>5</v>
      </c>
      <c r="AY74" s="573" t="s">
        <v>105</v>
      </c>
      <c r="AZ74" s="577" t="s">
        <v>105</v>
      </c>
      <c r="BA74" s="572" t="s">
        <v>163</v>
      </c>
      <c r="BB74" s="578" t="s">
        <v>163</v>
      </c>
    </row>
    <row r="75" spans="1:55" ht="16.5" thickBot="1" x14ac:dyDescent="0.25">
      <c r="A75" s="580"/>
      <c r="B75" s="744"/>
      <c r="C75" s="581">
        <v>2016</v>
      </c>
      <c r="D75" s="582">
        <v>2017</v>
      </c>
      <c r="E75" s="583">
        <v>2017</v>
      </c>
      <c r="F75" s="581">
        <v>2018</v>
      </c>
      <c r="G75" s="582">
        <v>2018</v>
      </c>
      <c r="H75" s="584">
        <v>2018</v>
      </c>
      <c r="I75" s="581">
        <v>2019</v>
      </c>
      <c r="J75" s="582">
        <v>2019</v>
      </c>
      <c r="K75" s="582">
        <v>2019</v>
      </c>
      <c r="L75" s="584">
        <v>2019</v>
      </c>
      <c r="M75" s="581">
        <v>2020</v>
      </c>
      <c r="N75" s="582">
        <v>2020</v>
      </c>
      <c r="O75" s="585">
        <v>2020</v>
      </c>
      <c r="P75" s="584">
        <v>2020</v>
      </c>
      <c r="Q75" s="581">
        <v>2021</v>
      </c>
      <c r="R75" s="583">
        <v>2021</v>
      </c>
      <c r="S75" s="581">
        <v>2021</v>
      </c>
      <c r="T75" s="584">
        <v>2021</v>
      </c>
      <c r="U75" s="585">
        <v>2022</v>
      </c>
      <c r="V75" s="582">
        <v>2022</v>
      </c>
      <c r="W75" s="585">
        <v>2022</v>
      </c>
      <c r="X75" s="584">
        <v>2022</v>
      </c>
      <c r="Y75" s="581">
        <v>2023</v>
      </c>
      <c r="Z75" s="582">
        <v>2023</v>
      </c>
      <c r="AA75" s="582">
        <v>2023</v>
      </c>
      <c r="AB75" s="582">
        <v>2023</v>
      </c>
      <c r="AC75" s="585">
        <v>2023</v>
      </c>
      <c r="AD75" s="583">
        <v>2023</v>
      </c>
      <c r="AE75" s="581">
        <v>2023</v>
      </c>
      <c r="AF75" s="584">
        <v>2023</v>
      </c>
      <c r="AG75" s="585">
        <v>2024</v>
      </c>
      <c r="AH75" s="582">
        <v>2024</v>
      </c>
      <c r="AI75" s="582">
        <v>2024</v>
      </c>
      <c r="AJ75" s="583">
        <v>2024</v>
      </c>
      <c r="AK75" s="581">
        <v>2024</v>
      </c>
      <c r="AL75" s="584">
        <v>2024</v>
      </c>
      <c r="AM75" s="581">
        <v>2024</v>
      </c>
      <c r="AN75" s="584">
        <v>2024</v>
      </c>
      <c r="AO75" s="585">
        <v>2025</v>
      </c>
      <c r="AP75" s="582">
        <v>2025</v>
      </c>
      <c r="AQ75" s="582">
        <v>2025</v>
      </c>
      <c r="AR75" s="583">
        <v>2025</v>
      </c>
      <c r="AS75" s="581">
        <v>2025</v>
      </c>
      <c r="AT75" s="584">
        <v>2025</v>
      </c>
      <c r="AU75" s="581">
        <v>2025</v>
      </c>
      <c r="AV75" s="584">
        <v>2025</v>
      </c>
      <c r="AW75" s="585">
        <v>2026</v>
      </c>
      <c r="AX75" s="582">
        <v>2026</v>
      </c>
      <c r="AY75" s="582">
        <v>2026</v>
      </c>
      <c r="AZ75" s="583">
        <v>2026</v>
      </c>
      <c r="BA75" s="581">
        <v>2026</v>
      </c>
      <c r="BB75" s="584">
        <v>2026</v>
      </c>
    </row>
    <row r="76" spans="1:55" x14ac:dyDescent="0.2">
      <c r="A76" s="586">
        <v>70</v>
      </c>
      <c r="B76" s="587" t="s">
        <v>7</v>
      </c>
      <c r="C76" s="588"/>
      <c r="D76" s="589"/>
      <c r="E76" s="590"/>
      <c r="F76" s="591"/>
      <c r="G76" s="592"/>
      <c r="H76" s="593"/>
      <c r="I76" s="591"/>
      <c r="J76" s="594"/>
      <c r="K76" s="594"/>
      <c r="L76" s="593"/>
      <c r="M76" s="595"/>
      <c r="N76" s="594"/>
      <c r="O76" s="596"/>
      <c r="P76" s="593"/>
      <c r="Q76" s="595"/>
      <c r="R76" s="590"/>
      <c r="S76" s="595"/>
      <c r="T76" s="593"/>
      <c r="U76" s="596"/>
      <c r="V76" s="594"/>
      <c r="W76" s="596"/>
      <c r="X76" s="590"/>
      <c r="Y76" s="595"/>
      <c r="Z76" s="594"/>
      <c r="AA76" s="594"/>
      <c r="AB76" s="594"/>
      <c r="AC76" s="596"/>
      <c r="AD76" s="590"/>
      <c r="AE76" s="595"/>
      <c r="AF76" s="593"/>
      <c r="AG76" s="596"/>
      <c r="AH76" s="594"/>
      <c r="AI76" s="594"/>
      <c r="AJ76" s="590"/>
      <c r="AK76" s="595"/>
      <c r="AL76" s="593"/>
      <c r="AM76" s="595"/>
      <c r="AN76" s="593"/>
      <c r="AO76" s="596"/>
      <c r="AP76" s="594"/>
      <c r="AQ76" s="594"/>
      <c r="AR76" s="590"/>
      <c r="AS76" s="595"/>
      <c r="AT76" s="593"/>
      <c r="AU76" s="595"/>
      <c r="AV76" s="593"/>
      <c r="AW76" s="596"/>
      <c r="AX76" s="594"/>
      <c r="AY76" s="594"/>
      <c r="AZ76" s="590"/>
      <c r="BA76" s="595"/>
      <c r="BB76" s="593"/>
    </row>
    <row r="77" spans="1:55" x14ac:dyDescent="0.2">
      <c r="A77" s="597"/>
      <c r="B77" s="273" t="s">
        <v>164</v>
      </c>
      <c r="C77" s="277">
        <v>26681.25</v>
      </c>
      <c r="D77" s="278">
        <v>18391.5</v>
      </c>
      <c r="E77" s="414"/>
      <c r="F77" s="284">
        <v>12000</v>
      </c>
      <c r="G77" s="282">
        <v>23876.92</v>
      </c>
      <c r="H77" s="413"/>
      <c r="I77" s="284">
        <v>18400</v>
      </c>
      <c r="J77" s="278"/>
      <c r="K77" s="278">
        <v>11084.25</v>
      </c>
      <c r="L77" s="413"/>
      <c r="M77" s="277">
        <v>12000</v>
      </c>
      <c r="N77" s="278"/>
      <c r="O77" s="353">
        <f>6538.46+250</f>
        <v>6788.46</v>
      </c>
      <c r="P77" s="482"/>
      <c r="Q77" s="351">
        <v>7500</v>
      </c>
      <c r="R77" s="483"/>
      <c r="S77" s="351">
        <v>5862</v>
      </c>
      <c r="T77" s="482"/>
      <c r="U77" s="341">
        <v>8000</v>
      </c>
      <c r="V77" s="278"/>
      <c r="W77" s="598">
        <v>7056.7</v>
      </c>
      <c r="X77" s="599"/>
      <c r="Y77" s="357">
        <v>9000</v>
      </c>
      <c r="Z77" s="278"/>
      <c r="AA77" s="355"/>
      <c r="AB77" s="278"/>
      <c r="AC77" s="341">
        <f t="shared" ref="AC77:AC82" si="22">AA77+Y77</f>
        <v>9000</v>
      </c>
      <c r="AD77" s="414"/>
      <c r="AE77" s="600">
        <f>15749.12+126</f>
        <v>15875.12</v>
      </c>
      <c r="AF77" s="601"/>
      <c r="AG77" s="341">
        <v>15000</v>
      </c>
      <c r="AH77" s="278"/>
      <c r="AI77" s="355">
        <v>3000</v>
      </c>
      <c r="AJ77" s="414"/>
      <c r="AK77" s="357">
        <f t="shared" ref="AK77:AK83" si="23">AI77+AG77</f>
        <v>18000</v>
      </c>
      <c r="AL77" s="413"/>
      <c r="AM77" s="600">
        <f>13472.04+5858</f>
        <v>19330.04</v>
      </c>
      <c r="AN77" s="601"/>
      <c r="AO77" s="417">
        <v>14000</v>
      </c>
      <c r="AP77" s="278"/>
      <c r="AQ77" s="355">
        <v>18000</v>
      </c>
      <c r="AR77" s="414"/>
      <c r="AS77" s="284">
        <f t="shared" ref="AS77:AS82" si="24">SUM(AO77:AR77)</f>
        <v>32000</v>
      </c>
      <c r="AT77" s="413"/>
      <c r="AU77" s="600">
        <f>23644.05+11425</f>
        <v>35069.050000000003</v>
      </c>
      <c r="AV77" s="601"/>
      <c r="AW77" s="417">
        <v>20000</v>
      </c>
      <c r="AX77" s="278"/>
      <c r="AY77" s="355">
        <v>18000</v>
      </c>
      <c r="AZ77" s="414"/>
      <c r="BA77" s="284">
        <f t="shared" ref="BA77:BA83" si="25">SUM(AW77:AZ77)</f>
        <v>38000</v>
      </c>
      <c r="BB77" s="413"/>
      <c r="BC77" s="707" t="s">
        <v>194</v>
      </c>
    </row>
    <row r="78" spans="1:55" x14ac:dyDescent="0.2">
      <c r="A78" s="597"/>
      <c r="B78" s="273" t="s">
        <v>165</v>
      </c>
      <c r="C78" s="277">
        <v>6042</v>
      </c>
      <c r="D78" s="278">
        <v>10746</v>
      </c>
      <c r="E78" s="414"/>
      <c r="F78" s="284">
        <v>11000</v>
      </c>
      <c r="G78" s="282">
        <v>16070</v>
      </c>
      <c r="H78" s="413"/>
      <c r="I78" s="284">
        <v>15000</v>
      </c>
      <c r="J78" s="278"/>
      <c r="K78" s="278">
        <v>20804</v>
      </c>
      <c r="L78" s="413"/>
      <c r="M78" s="277">
        <v>23600</v>
      </c>
      <c r="N78" s="278"/>
      <c r="O78" s="353">
        <v>21265</v>
      </c>
      <c r="P78" s="482"/>
      <c r="Q78" s="351">
        <v>20000</v>
      </c>
      <c r="R78" s="483"/>
      <c r="S78" s="351">
        <v>14627</v>
      </c>
      <c r="T78" s="482"/>
      <c r="U78" s="341">
        <v>18000</v>
      </c>
      <c r="V78" s="278"/>
      <c r="W78" s="598">
        <v>16955.5</v>
      </c>
      <c r="X78" s="599"/>
      <c r="Y78" s="357">
        <v>19000</v>
      </c>
      <c r="Z78" s="278"/>
      <c r="AA78" s="355"/>
      <c r="AB78" s="278"/>
      <c r="AC78" s="341">
        <f t="shared" si="22"/>
        <v>19000</v>
      </c>
      <c r="AD78" s="414"/>
      <c r="AE78" s="600">
        <v>14815.97</v>
      </c>
      <c r="AF78" s="601"/>
      <c r="AG78" s="341">
        <v>18000</v>
      </c>
      <c r="AH78" s="278"/>
      <c r="AI78" s="355"/>
      <c r="AJ78" s="414"/>
      <c r="AK78" s="357">
        <f t="shared" si="23"/>
        <v>18000</v>
      </c>
      <c r="AL78" s="413"/>
      <c r="AM78" s="600">
        <v>26330.73</v>
      </c>
      <c r="AN78" s="601"/>
      <c r="AO78" s="417">
        <v>25000</v>
      </c>
      <c r="AP78" s="278"/>
      <c r="AQ78" s="355"/>
      <c r="AR78" s="414"/>
      <c r="AS78" s="284">
        <f t="shared" si="24"/>
        <v>25000</v>
      </c>
      <c r="AT78" s="413"/>
      <c r="AU78" s="600">
        <v>24748.67</v>
      </c>
      <c r="AV78" s="601"/>
      <c r="AW78" s="417">
        <v>25000</v>
      </c>
      <c r="AX78" s="278"/>
      <c r="AY78" s="355"/>
      <c r="AZ78" s="414"/>
      <c r="BA78" s="284">
        <f t="shared" si="25"/>
        <v>25000</v>
      </c>
      <c r="BB78" s="413"/>
    </row>
    <row r="79" spans="1:55" x14ac:dyDescent="0.2">
      <c r="A79" s="597"/>
      <c r="B79" s="273" t="s">
        <v>166</v>
      </c>
      <c r="C79" s="277">
        <v>1467</v>
      </c>
      <c r="D79" s="278">
        <v>1928</v>
      </c>
      <c r="E79" s="414"/>
      <c r="F79" s="284">
        <v>2100</v>
      </c>
      <c r="G79" s="282">
        <v>2173</v>
      </c>
      <c r="H79" s="413"/>
      <c r="I79" s="284">
        <v>2500</v>
      </c>
      <c r="J79" s="278"/>
      <c r="K79" s="278">
        <f>1938+7116</f>
        <v>9054</v>
      </c>
      <c r="L79" s="413"/>
      <c r="M79" s="277">
        <v>10050</v>
      </c>
      <c r="N79" s="278"/>
      <c r="O79" s="353">
        <v>87</v>
      </c>
      <c r="P79" s="482"/>
      <c r="Q79" s="351">
        <v>5000</v>
      </c>
      <c r="R79" s="483"/>
      <c r="S79" s="351">
        <v>0</v>
      </c>
      <c r="T79" s="482"/>
      <c r="U79" s="341">
        <v>6000</v>
      </c>
      <c r="V79" s="278"/>
      <c r="W79" s="598">
        <f>7096.3+200</f>
        <v>7296.3</v>
      </c>
      <c r="X79" s="599"/>
      <c r="Y79" s="357">
        <v>8000</v>
      </c>
      <c r="Z79" s="278"/>
      <c r="AA79" s="355"/>
      <c r="AB79" s="278"/>
      <c r="AC79" s="341">
        <f t="shared" si="22"/>
        <v>8000</v>
      </c>
      <c r="AD79" s="414"/>
      <c r="AE79" s="600">
        <v>7370.75</v>
      </c>
      <c r="AF79" s="601"/>
      <c r="AG79" s="341">
        <v>8000</v>
      </c>
      <c r="AH79" s="278"/>
      <c r="AI79" s="355"/>
      <c r="AJ79" s="414"/>
      <c r="AK79" s="357">
        <f t="shared" si="23"/>
        <v>8000</v>
      </c>
      <c r="AL79" s="413"/>
      <c r="AM79" s="600">
        <v>9395.15</v>
      </c>
      <c r="AN79" s="601"/>
      <c r="AO79" s="417">
        <v>10000</v>
      </c>
      <c r="AP79" s="278"/>
      <c r="AQ79" s="355"/>
      <c r="AR79" s="414"/>
      <c r="AS79" s="284">
        <f t="shared" si="24"/>
        <v>10000</v>
      </c>
      <c r="AT79" s="413"/>
      <c r="AU79" s="600">
        <v>11293.45</v>
      </c>
      <c r="AV79" s="601"/>
      <c r="AW79" s="417">
        <v>13500</v>
      </c>
      <c r="AX79" s="278"/>
      <c r="AY79" s="355"/>
      <c r="AZ79" s="414"/>
      <c r="BA79" s="284">
        <f t="shared" si="25"/>
        <v>13500</v>
      </c>
      <c r="BB79" s="413"/>
    </row>
    <row r="80" spans="1:55" x14ac:dyDescent="0.2">
      <c r="A80" s="597"/>
      <c r="B80" s="273" t="s">
        <v>167</v>
      </c>
      <c r="C80" s="277">
        <v>2814.21</v>
      </c>
      <c r="D80" s="278">
        <v>4021.5</v>
      </c>
      <c r="E80" s="414"/>
      <c r="F80" s="284">
        <v>4500</v>
      </c>
      <c r="G80" s="282">
        <v>3957</v>
      </c>
      <c r="H80" s="413"/>
      <c r="I80" s="284">
        <v>4000</v>
      </c>
      <c r="J80" s="278"/>
      <c r="K80" s="278">
        <v>4036</v>
      </c>
      <c r="L80" s="413"/>
      <c r="M80" s="277">
        <v>4000</v>
      </c>
      <c r="N80" s="278"/>
      <c r="O80" s="353">
        <v>0</v>
      </c>
      <c r="P80" s="482"/>
      <c r="Q80" s="351">
        <v>2000</v>
      </c>
      <c r="R80" s="483"/>
      <c r="S80" s="351">
        <v>5348</v>
      </c>
      <c r="T80" s="482"/>
      <c r="U80" s="341">
        <v>6000</v>
      </c>
      <c r="V80" s="278"/>
      <c r="W80" s="598">
        <v>2150</v>
      </c>
      <c r="X80" s="599"/>
      <c r="Y80" s="357">
        <v>3500</v>
      </c>
      <c r="Z80" s="278"/>
      <c r="AA80" s="355"/>
      <c r="AB80" s="278"/>
      <c r="AC80" s="341">
        <f t="shared" si="22"/>
        <v>3500</v>
      </c>
      <c r="AD80" s="414"/>
      <c r="AE80" s="600">
        <v>3000</v>
      </c>
      <c r="AF80" s="601"/>
      <c r="AG80" s="341">
        <v>3000</v>
      </c>
      <c r="AH80" s="278"/>
      <c r="AI80" s="355"/>
      <c r="AJ80" s="414"/>
      <c r="AK80" s="357">
        <f t="shared" si="23"/>
        <v>3000</v>
      </c>
      <c r="AL80" s="413"/>
      <c r="AM80" s="600">
        <f>1242.5+550</f>
        <v>1792.5</v>
      </c>
      <c r="AN80" s="601"/>
      <c r="AO80" s="417">
        <v>2000</v>
      </c>
      <c r="AP80" s="278"/>
      <c r="AQ80" s="355"/>
      <c r="AR80" s="414"/>
      <c r="AS80" s="284">
        <f t="shared" si="24"/>
        <v>2000</v>
      </c>
      <c r="AT80" s="413"/>
      <c r="AU80" s="600">
        <v>2157.5</v>
      </c>
      <c r="AV80" s="601"/>
      <c r="AW80" s="417">
        <v>2500</v>
      </c>
      <c r="AX80" s="278"/>
      <c r="AY80" s="355"/>
      <c r="AZ80" s="414"/>
      <c r="BA80" s="284">
        <f t="shared" si="25"/>
        <v>2500</v>
      </c>
      <c r="BB80" s="413"/>
    </row>
    <row r="81" spans="1:55" x14ac:dyDescent="0.2">
      <c r="A81" s="597"/>
      <c r="B81" s="273" t="s">
        <v>168</v>
      </c>
      <c r="C81" s="277">
        <v>3180.48</v>
      </c>
      <c r="D81" s="278">
        <v>1584.31</v>
      </c>
      <c r="E81" s="414"/>
      <c r="F81" s="284">
        <v>1500</v>
      </c>
      <c r="G81" s="282">
        <v>13317</v>
      </c>
      <c r="H81" s="413"/>
      <c r="I81" s="284">
        <v>6500</v>
      </c>
      <c r="J81" s="278"/>
      <c r="K81" s="278">
        <v>5088.97</v>
      </c>
      <c r="L81" s="413"/>
      <c r="M81" s="277">
        <v>5000</v>
      </c>
      <c r="N81" s="278"/>
      <c r="O81" s="353">
        <v>1176.23</v>
      </c>
      <c r="P81" s="482"/>
      <c r="Q81" s="351">
        <v>1500</v>
      </c>
      <c r="R81" s="483"/>
      <c r="S81" s="351">
        <v>726</v>
      </c>
      <c r="T81" s="482"/>
      <c r="U81" s="341">
        <v>1000</v>
      </c>
      <c r="V81" s="278"/>
      <c r="W81" s="598">
        <v>6498.95</v>
      </c>
      <c r="X81" s="599"/>
      <c r="Y81" s="357">
        <v>4500</v>
      </c>
      <c r="Z81" s="278"/>
      <c r="AA81" s="355"/>
      <c r="AB81" s="278"/>
      <c r="AC81" s="341">
        <f t="shared" si="22"/>
        <v>4500</v>
      </c>
      <c r="AD81" s="414"/>
      <c r="AE81" s="600">
        <v>9746.0300000000007</v>
      </c>
      <c r="AF81" s="601"/>
      <c r="AG81" s="341">
        <v>5000</v>
      </c>
      <c r="AH81" s="278"/>
      <c r="AI81" s="355"/>
      <c r="AJ81" s="414"/>
      <c r="AK81" s="357">
        <f t="shared" si="23"/>
        <v>5000</v>
      </c>
      <c r="AL81" s="413"/>
      <c r="AM81" s="600">
        <v>6236.63</v>
      </c>
      <c r="AN81" s="601"/>
      <c r="AO81" s="341">
        <v>6000</v>
      </c>
      <c r="AP81" s="278"/>
      <c r="AQ81" s="355"/>
      <c r="AR81" s="414"/>
      <c r="AS81" s="284">
        <f t="shared" si="24"/>
        <v>6000</v>
      </c>
      <c r="AT81" s="413"/>
      <c r="AU81" s="600">
        <v>4960.3500000000004</v>
      </c>
      <c r="AV81" s="601"/>
      <c r="AW81" s="341">
        <v>4500</v>
      </c>
      <c r="AX81" s="278"/>
      <c r="AY81" s="355"/>
      <c r="AZ81" s="414"/>
      <c r="BA81" s="284">
        <f t="shared" si="25"/>
        <v>4500</v>
      </c>
      <c r="BB81" s="413"/>
    </row>
    <row r="82" spans="1:55" x14ac:dyDescent="0.2">
      <c r="A82" s="597"/>
      <c r="B82" s="273" t="s">
        <v>169</v>
      </c>
      <c r="C82" s="277">
        <v>2355</v>
      </c>
      <c r="D82" s="278">
        <v>3497</v>
      </c>
      <c r="E82" s="414"/>
      <c r="F82" s="284">
        <v>4000</v>
      </c>
      <c r="G82" s="282">
        <v>1115</v>
      </c>
      <c r="H82" s="413"/>
      <c r="I82" s="284">
        <v>1500</v>
      </c>
      <c r="J82" s="278"/>
      <c r="K82" s="278">
        <v>4834</v>
      </c>
      <c r="L82" s="413"/>
      <c r="M82" s="277">
        <v>5000</v>
      </c>
      <c r="N82" s="278"/>
      <c r="O82" s="353">
        <v>1071</v>
      </c>
      <c r="P82" s="482"/>
      <c r="Q82" s="351">
        <v>2500</v>
      </c>
      <c r="R82" s="483"/>
      <c r="S82" s="351">
        <v>2760</v>
      </c>
      <c r="T82" s="482"/>
      <c r="U82" s="341">
        <v>3500</v>
      </c>
      <c r="V82" s="278"/>
      <c r="W82" s="598">
        <v>1356.2</v>
      </c>
      <c r="X82" s="599"/>
      <c r="Y82" s="357">
        <v>2500</v>
      </c>
      <c r="Z82" s="278"/>
      <c r="AA82" s="355"/>
      <c r="AB82" s="278"/>
      <c r="AC82" s="341">
        <f t="shared" si="22"/>
        <v>2500</v>
      </c>
      <c r="AD82" s="414"/>
      <c r="AE82" s="600">
        <v>3727</v>
      </c>
      <c r="AF82" s="601"/>
      <c r="AG82" s="341">
        <v>6000</v>
      </c>
      <c r="AH82" s="278"/>
      <c r="AI82" s="355"/>
      <c r="AJ82" s="414"/>
      <c r="AK82" s="357">
        <f t="shared" si="23"/>
        <v>6000</v>
      </c>
      <c r="AL82" s="413"/>
      <c r="AM82" s="600">
        <v>4482</v>
      </c>
      <c r="AN82" s="601"/>
      <c r="AO82" s="341">
        <v>6000</v>
      </c>
      <c r="AP82" s="278"/>
      <c r="AQ82" s="355"/>
      <c r="AR82" s="414"/>
      <c r="AS82" s="284">
        <f t="shared" si="24"/>
        <v>6000</v>
      </c>
      <c r="AT82" s="413"/>
      <c r="AU82" s="600">
        <v>1991</v>
      </c>
      <c r="AV82" s="601"/>
      <c r="AW82" s="341">
        <v>4000</v>
      </c>
      <c r="AX82" s="278"/>
      <c r="AY82" s="355"/>
      <c r="AZ82" s="414"/>
      <c r="BA82" s="284">
        <f t="shared" si="25"/>
        <v>4000</v>
      </c>
      <c r="BB82" s="413"/>
      <c r="BC82" s="245" t="s">
        <v>109</v>
      </c>
    </row>
    <row r="83" spans="1:55" ht="16.5" thickBot="1" x14ac:dyDescent="0.25">
      <c r="A83" s="597"/>
      <c r="B83" s="273" t="s">
        <v>170</v>
      </c>
      <c r="C83" s="277"/>
      <c r="D83" s="278">
        <v>250</v>
      </c>
      <c r="E83" s="414"/>
      <c r="F83" s="284">
        <v>2400</v>
      </c>
      <c r="G83" s="282">
        <v>250</v>
      </c>
      <c r="H83" s="413"/>
      <c r="I83" s="284"/>
      <c r="J83" s="278"/>
      <c r="K83" s="278"/>
      <c r="L83" s="413"/>
      <c r="M83" s="277"/>
      <c r="N83" s="278"/>
      <c r="O83" s="353"/>
      <c r="P83" s="482"/>
      <c r="Q83" s="351"/>
      <c r="R83" s="483"/>
      <c r="S83" s="351">
        <v>0</v>
      </c>
      <c r="T83" s="482"/>
      <c r="U83" s="310"/>
      <c r="V83" s="305"/>
      <c r="W83" s="598"/>
      <c r="X83" s="599"/>
      <c r="Y83" s="304"/>
      <c r="Z83" s="305"/>
      <c r="AA83" s="305"/>
      <c r="AB83" s="305"/>
      <c r="AC83" s="435"/>
      <c r="AD83" s="307"/>
      <c r="AE83" s="602"/>
      <c r="AF83" s="603"/>
      <c r="AG83" s="310"/>
      <c r="AH83" s="305"/>
      <c r="AI83" s="305">
        <v>500</v>
      </c>
      <c r="AJ83" s="307"/>
      <c r="AK83" s="436">
        <f t="shared" si="23"/>
        <v>500</v>
      </c>
      <c r="AL83" s="312"/>
      <c r="AM83" s="602"/>
      <c r="AN83" s="603"/>
      <c r="AO83" s="310"/>
      <c r="AP83" s="305"/>
      <c r="AQ83" s="305"/>
      <c r="AR83" s="307"/>
      <c r="AS83" s="284"/>
      <c r="AT83" s="312"/>
      <c r="AU83" s="602"/>
      <c r="AV83" s="603"/>
      <c r="AW83" s="310"/>
      <c r="AX83" s="305"/>
      <c r="AY83" s="305"/>
      <c r="AZ83" s="307"/>
      <c r="BA83" s="284">
        <f t="shared" si="25"/>
        <v>0</v>
      </c>
      <c r="BB83" s="312"/>
    </row>
    <row r="84" spans="1:55" ht="16.5" thickBot="1" x14ac:dyDescent="0.25">
      <c r="A84" s="604"/>
      <c r="B84" s="314" t="s">
        <v>112</v>
      </c>
      <c r="C84" s="315"/>
      <c r="D84" s="316"/>
      <c r="E84" s="317">
        <f>SUM(D77:D83)</f>
        <v>40418.31</v>
      </c>
      <c r="F84" s="315"/>
      <c r="G84" s="316"/>
      <c r="H84" s="318">
        <f>SUM(G77:G83)</f>
        <v>60758.92</v>
      </c>
      <c r="I84" s="315"/>
      <c r="J84" s="316">
        <f>SUM(I77:I83)</f>
        <v>47900</v>
      </c>
      <c r="K84" s="316"/>
      <c r="L84" s="318">
        <f>SUM(K77:K83)</f>
        <v>54901.22</v>
      </c>
      <c r="M84" s="315"/>
      <c r="N84" s="316">
        <f>SUM(M77:M83)</f>
        <v>59650</v>
      </c>
      <c r="O84" s="605"/>
      <c r="P84" s="606">
        <f>SUM(O77:O83)</f>
        <v>30387.69</v>
      </c>
      <c r="Q84" s="607"/>
      <c r="R84" s="608">
        <f>SUM(Q77:Q83)</f>
        <v>38500</v>
      </c>
      <c r="S84" s="607"/>
      <c r="T84" s="606">
        <f>SUM(S77:S83)</f>
        <v>29323</v>
      </c>
      <c r="U84" s="319"/>
      <c r="V84" s="316">
        <f>SUM(U77:U83)</f>
        <v>42500</v>
      </c>
      <c r="W84" s="609"/>
      <c r="X84" s="610">
        <f>SUM(W77:W83)</f>
        <v>41313.649999999994</v>
      </c>
      <c r="Y84" s="315"/>
      <c r="Z84" s="316">
        <f>SUM(Y77:Y83)</f>
        <v>46500</v>
      </c>
      <c r="AA84" s="316"/>
      <c r="AB84" s="316">
        <f>SUM(AA77:AA83)</f>
        <v>0</v>
      </c>
      <c r="AC84" s="319"/>
      <c r="AD84" s="317">
        <f>SUM(AC77:AC83)</f>
        <v>46500</v>
      </c>
      <c r="AE84" s="315"/>
      <c r="AF84" s="318">
        <f>SUM(AE77:AE83)</f>
        <v>54534.869999999995</v>
      </c>
      <c r="AG84" s="319"/>
      <c r="AH84" s="316">
        <f>SUM(AG77:AG83)</f>
        <v>55000</v>
      </c>
      <c r="AI84" s="316"/>
      <c r="AJ84" s="317">
        <f>SUM(AI77:AI83)</f>
        <v>3500</v>
      </c>
      <c r="AK84" s="315"/>
      <c r="AL84" s="318">
        <f>SUM(AK77:AK83)</f>
        <v>58500</v>
      </c>
      <c r="AM84" s="315"/>
      <c r="AN84" s="318">
        <f>SUM(AM77:AM83)</f>
        <v>67567.05</v>
      </c>
      <c r="AO84" s="319"/>
      <c r="AP84" s="316">
        <f>SUM(AO77:AO83)</f>
        <v>63000</v>
      </c>
      <c r="AQ84" s="316"/>
      <c r="AR84" s="317">
        <f>SUM(AQ77:AQ83)</f>
        <v>18000</v>
      </c>
      <c r="AS84" s="315"/>
      <c r="AT84" s="318">
        <f>SUM(AS77:AS83)</f>
        <v>81000</v>
      </c>
      <c r="AU84" s="315"/>
      <c r="AV84" s="318">
        <f>SUM(AU77:AU83)</f>
        <v>80220.02</v>
      </c>
      <c r="AW84" s="319"/>
      <c r="AX84" s="316">
        <f>SUM(AW77:AW83)</f>
        <v>69500</v>
      </c>
      <c r="AY84" s="316"/>
      <c r="AZ84" s="317">
        <f>SUM(AY77:AY83)</f>
        <v>18000</v>
      </c>
      <c r="BA84" s="315"/>
      <c r="BB84" s="318">
        <f>SUM(BA77:BA83)</f>
        <v>87500</v>
      </c>
    </row>
    <row r="85" spans="1:55" x14ac:dyDescent="0.2">
      <c r="A85" s="586">
        <v>74</v>
      </c>
      <c r="B85" s="587" t="s">
        <v>171</v>
      </c>
      <c r="C85" s="588"/>
      <c r="D85" s="589"/>
      <c r="E85" s="611"/>
      <c r="F85" s="588"/>
      <c r="G85" s="589"/>
      <c r="H85" s="612"/>
      <c r="I85" s="588"/>
      <c r="J85" s="589"/>
      <c r="K85" s="589"/>
      <c r="L85" s="612"/>
      <c r="M85" s="588"/>
      <c r="N85" s="589"/>
      <c r="O85" s="613"/>
      <c r="P85" s="612"/>
      <c r="Q85" s="588"/>
      <c r="R85" s="611"/>
      <c r="S85" s="588"/>
      <c r="T85" s="612"/>
      <c r="U85" s="613"/>
      <c r="V85" s="589"/>
      <c r="W85" s="613"/>
      <c r="X85" s="611"/>
      <c r="Y85" s="588"/>
      <c r="Z85" s="589"/>
      <c r="AA85" s="589"/>
      <c r="AB85" s="589"/>
      <c r="AC85" s="613"/>
      <c r="AD85" s="611"/>
      <c r="AE85" s="588"/>
      <c r="AF85" s="612"/>
      <c r="AG85" s="613"/>
      <c r="AH85" s="589"/>
      <c r="AI85" s="589"/>
      <c r="AJ85" s="611"/>
      <c r="AK85" s="588"/>
      <c r="AL85" s="612"/>
      <c r="AM85" s="588"/>
      <c r="AN85" s="612"/>
      <c r="AO85" s="613"/>
      <c r="AP85" s="589"/>
      <c r="AQ85" s="589"/>
      <c r="AR85" s="611"/>
      <c r="AS85" s="588"/>
      <c r="AT85" s="612"/>
      <c r="AU85" s="588"/>
      <c r="AV85" s="612"/>
      <c r="AW85" s="613"/>
      <c r="AX85" s="589"/>
      <c r="AY85" s="589"/>
      <c r="AZ85" s="611"/>
      <c r="BA85" s="588"/>
      <c r="BB85" s="612"/>
    </row>
    <row r="86" spans="1:55" x14ac:dyDescent="0.2">
      <c r="A86" s="597"/>
      <c r="B86" s="273" t="s">
        <v>172</v>
      </c>
      <c r="C86" s="277">
        <v>18000</v>
      </c>
      <c r="D86" s="278">
        <v>19000</v>
      </c>
      <c r="E86" s="414"/>
      <c r="F86" s="277">
        <v>10000</v>
      </c>
      <c r="G86" s="278">
        <v>9750</v>
      </c>
      <c r="H86" s="413">
        <v>9750</v>
      </c>
      <c r="I86" s="277">
        <v>10000</v>
      </c>
      <c r="J86" s="278"/>
      <c r="K86" s="278">
        <v>16500</v>
      </c>
      <c r="L86" s="413"/>
      <c r="M86" s="277">
        <v>16500</v>
      </c>
      <c r="N86" s="278"/>
      <c r="O86" s="353">
        <v>25025</v>
      </c>
      <c r="P86" s="482"/>
      <c r="Q86" s="351">
        <v>17000</v>
      </c>
      <c r="R86" s="483"/>
      <c r="S86" s="351">
        <v>29000</v>
      </c>
      <c r="T86" s="482"/>
      <c r="U86" s="341">
        <v>30000</v>
      </c>
      <c r="V86" s="278"/>
      <c r="W86" s="598">
        <v>26000</v>
      </c>
      <c r="X86" s="599"/>
      <c r="Y86" s="357">
        <v>19000</v>
      </c>
      <c r="Z86" s="278"/>
      <c r="AA86" s="614"/>
      <c r="AB86" s="278"/>
      <c r="AC86" s="341">
        <f>Y86+AA86</f>
        <v>19000</v>
      </c>
      <c r="AD86" s="414"/>
      <c r="AE86" s="600">
        <f>20000+5000</f>
        <v>25000</v>
      </c>
      <c r="AF86" s="601"/>
      <c r="AG86" s="341">
        <v>10000</v>
      </c>
      <c r="AH86" s="278"/>
      <c r="AI86" s="355">
        <v>12000</v>
      </c>
      <c r="AJ86" s="414"/>
      <c r="AK86" s="357">
        <f>AG86+AI86</f>
        <v>22000</v>
      </c>
      <c r="AL86" s="413"/>
      <c r="AM86" s="600">
        <f>41700+4500</f>
        <v>46200</v>
      </c>
      <c r="AN86" s="601"/>
      <c r="AO86" s="417">
        <v>10000</v>
      </c>
      <c r="AP86" s="349"/>
      <c r="AQ86" s="474">
        <v>15000</v>
      </c>
      <c r="AR86" s="483"/>
      <c r="AS86" s="284">
        <f t="shared" ref="AS86:AS94" si="26">SUM(AO86:AR86)</f>
        <v>25000</v>
      </c>
      <c r="AT86" s="413"/>
      <c r="AU86" s="600">
        <f>13900+8000</f>
        <v>21900</v>
      </c>
      <c r="AV86" s="601"/>
      <c r="AW86" s="417">
        <v>14000</v>
      </c>
      <c r="AX86" s="349"/>
      <c r="AY86" s="355">
        <v>6000</v>
      </c>
      <c r="AZ86" s="483"/>
      <c r="BA86" s="284">
        <f>SUM(AW86:AZ86)</f>
        <v>20000</v>
      </c>
      <c r="BB86" s="413"/>
    </row>
    <row r="87" spans="1:55" x14ac:dyDescent="0.2">
      <c r="A87" s="597"/>
      <c r="B87" s="273" t="s">
        <v>173</v>
      </c>
      <c r="C87" s="277"/>
      <c r="D87" s="278"/>
      <c r="E87" s="414"/>
      <c r="F87" s="277"/>
      <c r="G87" s="278"/>
      <c r="H87" s="413"/>
      <c r="I87" s="277"/>
      <c r="J87" s="278"/>
      <c r="K87" s="278"/>
      <c r="L87" s="413"/>
      <c r="M87" s="277"/>
      <c r="N87" s="278"/>
      <c r="O87" s="353"/>
      <c r="P87" s="482"/>
      <c r="Q87" s="351"/>
      <c r="R87" s="483"/>
      <c r="S87" s="351"/>
      <c r="T87" s="482"/>
      <c r="U87" s="341"/>
      <c r="V87" s="278"/>
      <c r="W87" s="598"/>
      <c r="X87" s="599"/>
      <c r="Y87" s="357"/>
      <c r="Z87" s="278"/>
      <c r="AA87" s="614"/>
      <c r="AB87" s="278"/>
      <c r="AC87" s="341"/>
      <c r="AD87" s="414"/>
      <c r="AE87" s="600"/>
      <c r="AF87" s="601"/>
      <c r="AG87" s="341"/>
      <c r="AH87" s="278"/>
      <c r="AI87" s="355"/>
      <c r="AJ87" s="414"/>
      <c r="AK87" s="357"/>
      <c r="AL87" s="413"/>
      <c r="AM87" s="600"/>
      <c r="AN87" s="601"/>
      <c r="AO87" s="417"/>
      <c r="AP87" s="349"/>
      <c r="AQ87" s="474">
        <v>15000</v>
      </c>
      <c r="AR87" s="483"/>
      <c r="AS87" s="284">
        <f t="shared" si="26"/>
        <v>15000</v>
      </c>
      <c r="AT87" s="413"/>
      <c r="AU87" s="600">
        <v>18800</v>
      </c>
      <c r="AV87" s="601"/>
      <c r="AW87" s="417"/>
      <c r="AX87" s="349"/>
      <c r="AY87" s="474">
        <v>13000</v>
      </c>
      <c r="AZ87" s="483"/>
      <c r="BA87" s="284">
        <f t="shared" ref="BA87:BA95" si="27">SUM(AW87:AZ87)</f>
        <v>13000</v>
      </c>
      <c r="BB87" s="413"/>
    </row>
    <row r="88" spans="1:55" x14ac:dyDescent="0.2">
      <c r="A88" s="597"/>
      <c r="B88" s="273" t="s">
        <v>174</v>
      </c>
      <c r="C88" s="277">
        <v>18000</v>
      </c>
      <c r="D88" s="278">
        <v>25000</v>
      </c>
      <c r="E88" s="414"/>
      <c r="F88" s="277">
        <v>29000</v>
      </c>
      <c r="G88" s="278">
        <v>27000</v>
      </c>
      <c r="H88" s="413">
        <v>27000</v>
      </c>
      <c r="I88" s="277">
        <v>29000</v>
      </c>
      <c r="J88" s="278"/>
      <c r="K88" s="278">
        <v>25000</v>
      </c>
      <c r="L88" s="413"/>
      <c r="M88" s="277">
        <v>25000</v>
      </c>
      <c r="N88" s="278"/>
      <c r="O88" s="353">
        <v>25900</v>
      </c>
      <c r="P88" s="482"/>
      <c r="Q88" s="351">
        <v>25000</v>
      </c>
      <c r="R88" s="483"/>
      <c r="S88" s="351">
        <v>22291</v>
      </c>
      <c r="T88" s="482"/>
      <c r="U88" s="341">
        <v>28000</v>
      </c>
      <c r="V88" s="278"/>
      <c r="W88" s="598">
        <v>24860</v>
      </c>
      <c r="X88" s="599"/>
      <c r="Y88" s="357">
        <v>29000</v>
      </c>
      <c r="Z88" s="278"/>
      <c r="AA88" s="355">
        <v>15000</v>
      </c>
      <c r="AB88" s="278"/>
      <c r="AC88" s="341">
        <f t="shared" ref="AC88:AC94" si="28">Y88+AA88</f>
        <v>44000</v>
      </c>
      <c r="AD88" s="414"/>
      <c r="AE88" s="600">
        <v>33800</v>
      </c>
      <c r="AF88" s="601"/>
      <c r="AG88" s="341">
        <v>23000</v>
      </c>
      <c r="AH88" s="278"/>
      <c r="AI88" s="355">
        <v>17000</v>
      </c>
      <c r="AJ88" s="414"/>
      <c r="AK88" s="357">
        <f t="shared" ref="AK88:AK94" si="29">AG88+AI88</f>
        <v>40000</v>
      </c>
      <c r="AL88" s="413"/>
      <c r="AM88" s="600">
        <v>40420</v>
      </c>
      <c r="AN88" s="601"/>
      <c r="AO88" s="417">
        <v>23000</v>
      </c>
      <c r="AP88" s="349"/>
      <c r="AQ88" s="474">
        <v>10000</v>
      </c>
      <c r="AR88" s="483"/>
      <c r="AS88" s="284">
        <f t="shared" si="26"/>
        <v>33000</v>
      </c>
      <c r="AT88" s="413"/>
      <c r="AU88" s="600">
        <v>33550</v>
      </c>
      <c r="AV88" s="601"/>
      <c r="AW88" s="417">
        <v>28000</v>
      </c>
      <c r="AX88" s="349"/>
      <c r="AY88" s="474">
        <v>8000</v>
      </c>
      <c r="AZ88" s="483"/>
      <c r="BA88" s="284">
        <f t="shared" si="27"/>
        <v>36000</v>
      </c>
      <c r="BB88" s="413"/>
      <c r="BC88" s="245" t="s">
        <v>175</v>
      </c>
    </row>
    <row r="89" spans="1:55" x14ac:dyDescent="0.2">
      <c r="A89" s="597"/>
      <c r="B89" s="273" t="s">
        <v>176</v>
      </c>
      <c r="C89" s="277">
        <v>54000</v>
      </c>
      <c r="D89" s="278">
        <v>54000</v>
      </c>
      <c r="E89" s="414"/>
      <c r="F89" s="277">
        <v>54000</v>
      </c>
      <c r="G89" s="278">
        <v>54000</v>
      </c>
      <c r="H89" s="413">
        <v>54000</v>
      </c>
      <c r="I89" s="277">
        <v>54000</v>
      </c>
      <c r="J89" s="278"/>
      <c r="K89" s="278">
        <v>54000</v>
      </c>
      <c r="L89" s="413"/>
      <c r="M89" s="277">
        <v>54000</v>
      </c>
      <c r="N89" s="278"/>
      <c r="O89" s="353">
        <v>54000</v>
      </c>
      <c r="P89" s="482"/>
      <c r="Q89" s="351">
        <v>54000</v>
      </c>
      <c r="R89" s="483"/>
      <c r="S89" s="351">
        <v>54000</v>
      </c>
      <c r="T89" s="482"/>
      <c r="U89" s="341">
        <v>54000</v>
      </c>
      <c r="V89" s="278"/>
      <c r="W89" s="598">
        <v>54000</v>
      </c>
      <c r="X89" s="599"/>
      <c r="Y89" s="357">
        <v>54000</v>
      </c>
      <c r="Z89" s="278"/>
      <c r="AA89" s="355">
        <v>2000</v>
      </c>
      <c r="AB89" s="278"/>
      <c r="AC89" s="341">
        <f t="shared" si="28"/>
        <v>56000</v>
      </c>
      <c r="AD89" s="414"/>
      <c r="AE89" s="600">
        <v>54000</v>
      </c>
      <c r="AF89" s="601"/>
      <c r="AG89" s="341">
        <v>54000</v>
      </c>
      <c r="AH89" s="278"/>
      <c r="AI89" s="355">
        <v>3000</v>
      </c>
      <c r="AJ89" s="414"/>
      <c r="AK89" s="357">
        <f t="shared" si="29"/>
        <v>57000</v>
      </c>
      <c r="AL89" s="413"/>
      <c r="AM89" s="600">
        <v>54000</v>
      </c>
      <c r="AN89" s="601"/>
      <c r="AO89" s="417">
        <v>73000</v>
      </c>
      <c r="AP89" s="349"/>
      <c r="AQ89" s="474"/>
      <c r="AR89" s="483"/>
      <c r="AS89" s="284">
        <f t="shared" si="26"/>
        <v>73000</v>
      </c>
      <c r="AT89" s="413"/>
      <c r="AU89" s="600">
        <v>54000</v>
      </c>
      <c r="AV89" s="601"/>
      <c r="AW89" s="417">
        <v>54000</v>
      </c>
      <c r="AX89" s="349"/>
      <c r="AY89" s="474"/>
      <c r="AZ89" s="483"/>
      <c r="BA89" s="284">
        <f t="shared" si="27"/>
        <v>54000</v>
      </c>
      <c r="BB89" s="413"/>
    </row>
    <row r="90" spans="1:55" x14ac:dyDescent="0.2">
      <c r="A90" s="597"/>
      <c r="B90" s="273" t="s">
        <v>177</v>
      </c>
      <c r="C90" s="277">
        <v>10400</v>
      </c>
      <c r="D90" s="278">
        <v>10400</v>
      </c>
      <c r="E90" s="414"/>
      <c r="F90" s="277">
        <v>10400</v>
      </c>
      <c r="G90" s="278">
        <v>10400</v>
      </c>
      <c r="H90" s="413">
        <v>10400</v>
      </c>
      <c r="I90" s="277">
        <v>10400</v>
      </c>
      <c r="J90" s="278"/>
      <c r="K90" s="278">
        <v>10400</v>
      </c>
      <c r="L90" s="413"/>
      <c r="M90" s="277">
        <v>10400</v>
      </c>
      <c r="N90" s="278"/>
      <c r="O90" s="353">
        <v>10400</v>
      </c>
      <c r="P90" s="482"/>
      <c r="Q90" s="351">
        <v>10400</v>
      </c>
      <c r="R90" s="483"/>
      <c r="S90" s="351">
        <v>10400</v>
      </c>
      <c r="T90" s="482"/>
      <c r="U90" s="341">
        <v>16000</v>
      </c>
      <c r="V90" s="278"/>
      <c r="W90" s="598">
        <v>15000</v>
      </c>
      <c r="X90" s="599"/>
      <c r="Y90" s="357">
        <v>15000</v>
      </c>
      <c r="Z90" s="278"/>
      <c r="AA90" s="355"/>
      <c r="AB90" s="278"/>
      <c r="AC90" s="341">
        <f t="shared" si="28"/>
        <v>15000</v>
      </c>
      <c r="AD90" s="414"/>
      <c r="AE90" s="600">
        <v>15000</v>
      </c>
      <c r="AF90" s="601"/>
      <c r="AG90" s="341">
        <v>15000</v>
      </c>
      <c r="AH90" s="278"/>
      <c r="AI90" s="355"/>
      <c r="AJ90" s="414"/>
      <c r="AK90" s="357">
        <f t="shared" si="29"/>
        <v>15000</v>
      </c>
      <c r="AL90" s="413"/>
      <c r="AM90" s="600">
        <v>10000</v>
      </c>
      <c r="AN90" s="601"/>
      <c r="AO90" s="417">
        <v>10000</v>
      </c>
      <c r="AP90" s="615"/>
      <c r="AQ90" s="349"/>
      <c r="AR90" s="483"/>
      <c r="AS90" s="284">
        <f t="shared" si="26"/>
        <v>10000</v>
      </c>
      <c r="AT90" s="413"/>
      <c r="AU90" s="600">
        <v>10000</v>
      </c>
      <c r="AV90" s="601"/>
      <c r="AW90" s="417">
        <v>10000</v>
      </c>
      <c r="AX90" s="615"/>
      <c r="AY90" s="349"/>
      <c r="AZ90" s="483"/>
      <c r="BA90" s="284">
        <f t="shared" si="27"/>
        <v>10000</v>
      </c>
      <c r="BB90" s="413"/>
      <c r="BC90" s="245" t="s">
        <v>196</v>
      </c>
    </row>
    <row r="91" spans="1:55" x14ac:dyDescent="0.2">
      <c r="A91" s="597"/>
      <c r="B91" s="273" t="s">
        <v>178</v>
      </c>
      <c r="C91" s="277">
        <v>5000</v>
      </c>
      <c r="D91" s="278">
        <v>5000</v>
      </c>
      <c r="E91" s="414"/>
      <c r="F91" s="277">
        <v>5000</v>
      </c>
      <c r="G91" s="278">
        <v>5000</v>
      </c>
      <c r="H91" s="413">
        <v>5000</v>
      </c>
      <c r="I91" s="277">
        <v>5000</v>
      </c>
      <c r="J91" s="278"/>
      <c r="K91" s="278">
        <v>5000</v>
      </c>
      <c r="L91" s="413"/>
      <c r="M91" s="277">
        <v>5000</v>
      </c>
      <c r="N91" s="278"/>
      <c r="O91" s="353">
        <v>5000</v>
      </c>
      <c r="P91" s="482"/>
      <c r="Q91" s="351"/>
      <c r="R91" s="483"/>
      <c r="S91" s="351">
        <v>5000</v>
      </c>
      <c r="T91" s="482"/>
      <c r="U91" s="341">
        <v>5000</v>
      </c>
      <c r="V91" s="278"/>
      <c r="W91" s="598">
        <v>5000</v>
      </c>
      <c r="X91" s="599"/>
      <c r="Y91" s="357">
        <v>5000</v>
      </c>
      <c r="Z91" s="278"/>
      <c r="AA91" s="355"/>
      <c r="AB91" s="278"/>
      <c r="AC91" s="341">
        <f t="shared" si="28"/>
        <v>5000</v>
      </c>
      <c r="AD91" s="414"/>
      <c r="AE91" s="600">
        <v>5000</v>
      </c>
      <c r="AF91" s="601"/>
      <c r="AG91" s="341">
        <v>5000</v>
      </c>
      <c r="AH91" s="278"/>
      <c r="AI91" s="355"/>
      <c r="AJ91" s="414"/>
      <c r="AK91" s="357">
        <f t="shared" si="29"/>
        <v>5000</v>
      </c>
      <c r="AL91" s="413"/>
      <c r="AM91" s="600">
        <v>5000</v>
      </c>
      <c r="AN91" s="601"/>
      <c r="AO91" s="417">
        <v>5000</v>
      </c>
      <c r="AP91" s="349"/>
      <c r="AQ91" s="474"/>
      <c r="AR91" s="483"/>
      <c r="AS91" s="284">
        <f t="shared" si="26"/>
        <v>5000</v>
      </c>
      <c r="AT91" s="413"/>
      <c r="AU91" s="600">
        <v>0</v>
      </c>
      <c r="AV91" s="601"/>
      <c r="AW91" s="417"/>
      <c r="AX91" s="349"/>
      <c r="AY91" s="474"/>
      <c r="AZ91" s="483"/>
      <c r="BA91" s="284">
        <f t="shared" si="27"/>
        <v>0</v>
      </c>
      <c r="BB91" s="413"/>
      <c r="BC91" s="245" t="s">
        <v>195</v>
      </c>
    </row>
    <row r="92" spans="1:55" ht="14.25" customHeight="1" x14ac:dyDescent="0.2">
      <c r="A92" s="597"/>
      <c r="B92" s="273" t="s">
        <v>179</v>
      </c>
      <c r="C92" s="284"/>
      <c r="D92" s="282"/>
      <c r="E92" s="286"/>
      <c r="F92" s="284"/>
      <c r="G92" s="282"/>
      <c r="H92" s="283"/>
      <c r="I92" s="284"/>
      <c r="J92" s="282"/>
      <c r="K92" s="282"/>
      <c r="L92" s="283"/>
      <c r="M92" s="284">
        <v>1000</v>
      </c>
      <c r="N92" s="282"/>
      <c r="O92" s="292">
        <v>0</v>
      </c>
      <c r="P92" s="440"/>
      <c r="Q92" s="441"/>
      <c r="R92" s="343"/>
      <c r="S92" s="351">
        <v>6000</v>
      </c>
      <c r="T92" s="440"/>
      <c r="U92" s="341">
        <v>2000</v>
      </c>
      <c r="V92" s="282"/>
      <c r="W92" s="598">
        <f>21000+2166.64</f>
        <v>23166.639999999999</v>
      </c>
      <c r="X92" s="616"/>
      <c r="Y92" s="357">
        <v>5000</v>
      </c>
      <c r="Z92" s="282"/>
      <c r="AA92" s="355">
        <v>23000</v>
      </c>
      <c r="AB92" s="282"/>
      <c r="AC92" s="341">
        <f t="shared" si="28"/>
        <v>28000</v>
      </c>
      <c r="AD92" s="286"/>
      <c r="AE92" s="617">
        <v>4000</v>
      </c>
      <c r="AF92" s="601"/>
      <c r="AG92" s="341">
        <v>9000</v>
      </c>
      <c r="AH92" s="282"/>
      <c r="AI92" s="355"/>
      <c r="AJ92" s="286"/>
      <c r="AK92" s="357">
        <f t="shared" si="29"/>
        <v>9000</v>
      </c>
      <c r="AL92" s="283"/>
      <c r="AM92" s="617">
        <f>9000</f>
        <v>9000</v>
      </c>
      <c r="AN92" s="601"/>
      <c r="AO92" s="417">
        <v>10000</v>
      </c>
      <c r="AP92" s="473"/>
      <c r="AQ92" s="474"/>
      <c r="AR92" s="343"/>
      <c r="AS92" s="284">
        <f t="shared" si="26"/>
        <v>10000</v>
      </c>
      <c r="AT92" s="283"/>
      <c r="AU92" s="617">
        <v>12000</v>
      </c>
      <c r="AV92" s="601"/>
      <c r="AW92" s="417">
        <v>15000</v>
      </c>
      <c r="AX92" s="473"/>
      <c r="AY92" s="474"/>
      <c r="AZ92" s="343"/>
      <c r="BA92" s="284">
        <f t="shared" si="27"/>
        <v>15000</v>
      </c>
      <c r="BB92" s="283"/>
      <c r="BC92" s="245" t="s">
        <v>197</v>
      </c>
    </row>
    <row r="93" spans="1:55" x14ac:dyDescent="0.2">
      <c r="A93" s="597"/>
      <c r="B93" s="273" t="s">
        <v>180</v>
      </c>
      <c r="C93" s="277">
        <v>1155</v>
      </c>
      <c r="D93" s="282"/>
      <c r="E93" s="414"/>
      <c r="F93" s="277">
        <v>1000</v>
      </c>
      <c r="G93" s="618">
        <v>814</v>
      </c>
      <c r="H93" s="619">
        <v>814</v>
      </c>
      <c r="I93" s="277">
        <v>1000</v>
      </c>
      <c r="J93" s="278"/>
      <c r="K93" s="278">
        <v>824</v>
      </c>
      <c r="L93" s="413"/>
      <c r="M93" s="277">
        <v>850</v>
      </c>
      <c r="N93" s="278"/>
      <c r="O93" s="353">
        <v>904</v>
      </c>
      <c r="P93" s="482"/>
      <c r="Q93" s="351">
        <v>1000</v>
      </c>
      <c r="R93" s="483"/>
      <c r="S93" s="351">
        <v>904</v>
      </c>
      <c r="T93" s="482"/>
      <c r="U93" s="341">
        <v>1000</v>
      </c>
      <c r="V93" s="278"/>
      <c r="W93" s="598">
        <v>2532</v>
      </c>
      <c r="X93" s="599"/>
      <c r="Y93" s="357">
        <v>1000</v>
      </c>
      <c r="Z93" s="278"/>
      <c r="AA93" s="355"/>
      <c r="AB93" s="278"/>
      <c r="AC93" s="341">
        <f t="shared" si="28"/>
        <v>1000</v>
      </c>
      <c r="AD93" s="414"/>
      <c r="AE93" s="600">
        <v>1378</v>
      </c>
      <c r="AF93" s="601"/>
      <c r="AG93" s="341">
        <v>900</v>
      </c>
      <c r="AH93" s="278"/>
      <c r="AI93" s="355"/>
      <c r="AJ93" s="414"/>
      <c r="AK93" s="357">
        <f t="shared" si="29"/>
        <v>900</v>
      </c>
      <c r="AL93" s="413"/>
      <c r="AM93" s="600">
        <f>1132+1500</f>
        <v>2632</v>
      </c>
      <c r="AN93" s="601"/>
      <c r="AO93" s="417">
        <v>3000</v>
      </c>
      <c r="AP93" s="349"/>
      <c r="AQ93" s="474"/>
      <c r="AR93" s="483"/>
      <c r="AS93" s="284">
        <f t="shared" si="26"/>
        <v>3000</v>
      </c>
      <c r="AT93" s="413"/>
      <c r="AU93" s="600">
        <f>5460+2600+930</f>
        <v>8990</v>
      </c>
      <c r="AV93" s="601"/>
      <c r="AW93" s="417">
        <v>3000</v>
      </c>
      <c r="AX93" s="349"/>
      <c r="AY93" s="474"/>
      <c r="AZ93" s="483"/>
      <c r="BA93" s="284">
        <f t="shared" si="27"/>
        <v>3000</v>
      </c>
      <c r="BB93" s="413"/>
      <c r="BC93" s="245" t="s">
        <v>181</v>
      </c>
    </row>
    <row r="94" spans="1:55" x14ac:dyDescent="0.2">
      <c r="A94" s="597"/>
      <c r="B94" s="273" t="s">
        <v>8</v>
      </c>
      <c r="C94" s="277">
        <v>0</v>
      </c>
      <c r="D94" s="278">
        <v>6040</v>
      </c>
      <c r="E94" s="414"/>
      <c r="F94" s="284">
        <v>6000</v>
      </c>
      <c r="G94" s="282">
        <v>8300</v>
      </c>
      <c r="H94" s="283">
        <v>8300</v>
      </c>
      <c r="I94" s="284">
        <v>6000</v>
      </c>
      <c r="J94" s="282"/>
      <c r="K94" s="282">
        <v>8614.4</v>
      </c>
      <c r="L94" s="283"/>
      <c r="M94" s="284">
        <v>10000</v>
      </c>
      <c r="N94" s="282"/>
      <c r="O94" s="353">
        <v>9354</v>
      </c>
      <c r="P94" s="440"/>
      <c r="Q94" s="441">
        <v>8000</v>
      </c>
      <c r="R94" s="343"/>
      <c r="S94" s="351">
        <v>15781</v>
      </c>
      <c r="T94" s="440"/>
      <c r="U94" s="341">
        <v>16000</v>
      </c>
      <c r="V94" s="282"/>
      <c r="W94" s="598">
        <v>18352.349999999999</v>
      </c>
      <c r="X94" s="616"/>
      <c r="Y94" s="357">
        <v>16000</v>
      </c>
      <c r="Z94" s="282"/>
      <c r="AA94" s="355"/>
      <c r="AB94" s="282"/>
      <c r="AC94" s="341">
        <f t="shared" si="28"/>
        <v>16000</v>
      </c>
      <c r="AD94" s="286"/>
      <c r="AE94" s="617">
        <v>14044.69</v>
      </c>
      <c r="AF94" s="601"/>
      <c r="AG94" s="341">
        <v>16000</v>
      </c>
      <c r="AH94" s="282"/>
      <c r="AI94" s="355"/>
      <c r="AJ94" s="286"/>
      <c r="AK94" s="357">
        <f t="shared" si="29"/>
        <v>16000</v>
      </c>
      <c r="AL94" s="283"/>
      <c r="AM94" s="617">
        <v>21018.7</v>
      </c>
      <c r="AN94" s="601"/>
      <c r="AO94" s="417">
        <v>29000</v>
      </c>
      <c r="AP94" s="473"/>
      <c r="AQ94" s="474"/>
      <c r="AR94" s="343"/>
      <c r="AS94" s="284">
        <f t="shared" si="26"/>
        <v>29000</v>
      </c>
      <c r="AT94" s="283"/>
      <c r="AU94" s="617">
        <v>37275.35</v>
      </c>
      <c r="AV94" s="601"/>
      <c r="AW94" s="341">
        <v>42000</v>
      </c>
      <c r="AX94" s="473"/>
      <c r="AY94" s="474"/>
      <c r="AZ94" s="343"/>
      <c r="BA94" s="284">
        <f t="shared" si="27"/>
        <v>42000</v>
      </c>
      <c r="BB94" s="283"/>
      <c r="BC94" s="245" t="s">
        <v>182</v>
      </c>
    </row>
    <row r="95" spans="1:55" ht="16.5" thickBot="1" x14ac:dyDescent="0.25">
      <c r="A95" s="597"/>
      <c r="B95" s="273" t="s">
        <v>147</v>
      </c>
      <c r="C95" s="277">
        <v>3520</v>
      </c>
      <c r="D95" s="278">
        <v>3200</v>
      </c>
      <c r="E95" s="414"/>
      <c r="F95" s="284">
        <v>0</v>
      </c>
      <c r="G95" s="282">
        <v>0</v>
      </c>
      <c r="H95" s="283">
        <v>0</v>
      </c>
      <c r="I95" s="284">
        <v>0</v>
      </c>
      <c r="J95" s="282"/>
      <c r="K95" s="282">
        <v>0</v>
      </c>
      <c r="L95" s="283"/>
      <c r="M95" s="284">
        <v>0</v>
      </c>
      <c r="N95" s="282"/>
      <c r="O95" s="292">
        <v>1700</v>
      </c>
      <c r="P95" s="440"/>
      <c r="Q95" s="441"/>
      <c r="R95" s="343"/>
      <c r="S95" s="351">
        <v>0</v>
      </c>
      <c r="T95" s="440"/>
      <c r="U95" s="435">
        <v>0</v>
      </c>
      <c r="V95" s="488"/>
      <c r="W95" s="598">
        <v>1200</v>
      </c>
      <c r="X95" s="616"/>
      <c r="Y95" s="436"/>
      <c r="Z95" s="488"/>
      <c r="AA95" s="437"/>
      <c r="AB95" s="488"/>
      <c r="AC95" s="435"/>
      <c r="AD95" s="495"/>
      <c r="AE95" s="620">
        <v>6000</v>
      </c>
      <c r="AF95" s="603"/>
      <c r="AG95" s="435"/>
      <c r="AH95" s="488"/>
      <c r="AI95" s="437"/>
      <c r="AJ95" s="495"/>
      <c r="AK95" s="436"/>
      <c r="AL95" s="489"/>
      <c r="AM95" s="620">
        <v>0</v>
      </c>
      <c r="AN95" s="603"/>
      <c r="AO95" s="438"/>
      <c r="AP95" s="621"/>
      <c r="AQ95" s="477"/>
      <c r="AR95" s="493"/>
      <c r="AS95" s="284"/>
      <c r="AT95" s="489"/>
      <c r="AU95" s="620">
        <v>450</v>
      </c>
      <c r="AV95" s="603"/>
      <c r="AW95" s="438"/>
      <c r="AX95" s="621"/>
      <c r="AY95" s="477"/>
      <c r="AZ95" s="493"/>
      <c r="BA95" s="284">
        <f t="shared" si="27"/>
        <v>0</v>
      </c>
      <c r="BB95" s="489"/>
    </row>
    <row r="96" spans="1:55" ht="16.5" thickBot="1" x14ac:dyDescent="0.25">
      <c r="A96" s="604"/>
      <c r="B96" s="314" t="s">
        <v>112</v>
      </c>
      <c r="C96" s="315"/>
      <c r="D96" s="316"/>
      <c r="E96" s="317">
        <f>SUM(D86:D95)</f>
        <v>122640</v>
      </c>
      <c r="F96" s="315"/>
      <c r="G96" s="316"/>
      <c r="H96" s="318">
        <f>SUM(G86:G95)</f>
        <v>115264</v>
      </c>
      <c r="I96" s="315"/>
      <c r="J96" s="316">
        <f>SUM(I86:I95)</f>
        <v>115400</v>
      </c>
      <c r="K96" s="316"/>
      <c r="L96" s="318">
        <f>SUM(K86:K95)</f>
        <v>120338.4</v>
      </c>
      <c r="M96" s="315"/>
      <c r="N96" s="316">
        <f>SUM(M86:M95)</f>
        <v>122750</v>
      </c>
      <c r="O96" s="605"/>
      <c r="P96" s="606">
        <f>SUM(O86:O95)</f>
        <v>132283</v>
      </c>
      <c r="Q96" s="607"/>
      <c r="R96" s="608">
        <f>SUM(Q86:Q95)</f>
        <v>115400</v>
      </c>
      <c r="S96" s="607"/>
      <c r="T96" s="606">
        <f>SUM(S86:S95)</f>
        <v>143376</v>
      </c>
      <c r="U96" s="622"/>
      <c r="V96" s="623">
        <f>SUM(U86:U95)</f>
        <v>152000</v>
      </c>
      <c r="W96" s="609"/>
      <c r="X96" s="610">
        <f>SUM(W86:W95)</f>
        <v>170110.99000000002</v>
      </c>
      <c r="Y96" s="624"/>
      <c r="Z96" s="623">
        <f>SUM(Y86:Y95)</f>
        <v>144000</v>
      </c>
      <c r="AA96" s="623"/>
      <c r="AB96" s="623">
        <f>SUM(AA88:AA95)</f>
        <v>40000</v>
      </c>
      <c r="AC96" s="622"/>
      <c r="AD96" s="625">
        <f>SUM(AC86:AC95)</f>
        <v>184000</v>
      </c>
      <c r="AE96" s="624"/>
      <c r="AF96" s="732">
        <f>SUM(AE86:AE95)</f>
        <v>158222.69</v>
      </c>
      <c r="AG96" s="622"/>
      <c r="AH96" s="623">
        <f>SUM(AG86:AG95)</f>
        <v>132900</v>
      </c>
      <c r="AI96" s="623"/>
      <c r="AJ96" s="625">
        <f>SUM(AI86:AI95)</f>
        <v>32000</v>
      </c>
      <c r="AK96" s="624"/>
      <c r="AL96" s="733">
        <f>SUM(AK86:AK95)</f>
        <v>164900</v>
      </c>
      <c r="AM96" s="624"/>
      <c r="AN96" s="732">
        <f>SUM(AM86:AM95)</f>
        <v>188270.7</v>
      </c>
      <c r="AO96" s="319"/>
      <c r="AP96" s="316">
        <f>SUM(AO86:AO95)</f>
        <v>163000</v>
      </c>
      <c r="AQ96" s="316"/>
      <c r="AR96" s="317">
        <f>SUM(AQ86:AQ95)</f>
        <v>40000</v>
      </c>
      <c r="AS96" s="315"/>
      <c r="AT96" s="318">
        <f>SUM(AS86:AS95)</f>
        <v>203000</v>
      </c>
      <c r="AU96" s="624"/>
      <c r="AV96" s="732">
        <f>SUM(AU86:AU95)</f>
        <v>196965.35</v>
      </c>
      <c r="AW96" s="319"/>
      <c r="AX96" s="316">
        <f>SUM(AW86:AW95)</f>
        <v>166000</v>
      </c>
      <c r="AY96" s="316"/>
      <c r="AZ96" s="317">
        <f>SUM(AY86:AY95)</f>
        <v>27000</v>
      </c>
      <c r="BA96" s="315"/>
      <c r="BB96" s="318">
        <f>SUM(BA86:BA95)</f>
        <v>193000</v>
      </c>
    </row>
    <row r="97" spans="1:54" x14ac:dyDescent="0.2">
      <c r="A97" s="586">
        <v>75</v>
      </c>
      <c r="B97" s="587" t="s">
        <v>16</v>
      </c>
      <c r="C97" s="588"/>
      <c r="D97" s="589"/>
      <c r="E97" s="611"/>
      <c r="F97" s="588"/>
      <c r="G97" s="589"/>
      <c r="H97" s="612"/>
      <c r="I97" s="588"/>
      <c r="J97" s="589"/>
      <c r="K97" s="589"/>
      <c r="L97" s="612"/>
      <c r="M97" s="588"/>
      <c r="N97" s="589"/>
      <c r="O97" s="613"/>
      <c r="P97" s="612"/>
      <c r="Q97" s="588"/>
      <c r="R97" s="611"/>
      <c r="S97" s="588"/>
      <c r="T97" s="612"/>
      <c r="U97" s="613"/>
      <c r="V97" s="589"/>
      <c r="W97" s="613"/>
      <c r="X97" s="611"/>
      <c r="Y97" s="588"/>
      <c r="Z97" s="589"/>
      <c r="AA97" s="589"/>
      <c r="AB97" s="589"/>
      <c r="AC97" s="613"/>
      <c r="AD97" s="611"/>
      <c r="AE97" s="588"/>
      <c r="AF97" s="612"/>
      <c r="AG97" s="613"/>
      <c r="AH97" s="589"/>
      <c r="AI97" s="589"/>
      <c r="AJ97" s="611"/>
      <c r="AK97" s="588"/>
      <c r="AL97" s="612"/>
      <c r="AM97" s="588"/>
      <c r="AN97" s="612"/>
      <c r="AO97" s="613"/>
      <c r="AP97" s="589"/>
      <c r="AQ97" s="589"/>
      <c r="AR97" s="611"/>
      <c r="AS97" s="588"/>
      <c r="AT97" s="612"/>
      <c r="AU97" s="588"/>
      <c r="AV97" s="612"/>
      <c r="AW97" s="613"/>
      <c r="AX97" s="589"/>
      <c r="AY97" s="589"/>
      <c r="AZ97" s="611"/>
      <c r="BA97" s="588"/>
      <c r="BB97" s="612"/>
    </row>
    <row r="98" spans="1:54" x14ac:dyDescent="0.2">
      <c r="A98" s="597"/>
      <c r="B98" s="273" t="s">
        <v>183</v>
      </c>
      <c r="C98" s="277">
        <v>68125</v>
      </c>
      <c r="D98" s="278">
        <v>77595</v>
      </c>
      <c r="E98" s="414"/>
      <c r="F98" s="626">
        <v>84000</v>
      </c>
      <c r="G98" s="618">
        <v>74742.5</v>
      </c>
      <c r="H98" s="413"/>
      <c r="I98" s="277">
        <v>78000</v>
      </c>
      <c r="J98" s="278"/>
      <c r="K98" s="278">
        <v>82720.990000000005</v>
      </c>
      <c r="L98" s="413"/>
      <c r="M98" s="277">
        <v>87000</v>
      </c>
      <c r="N98" s="278"/>
      <c r="O98" s="353">
        <v>57974</v>
      </c>
      <c r="P98" s="482"/>
      <c r="Q98" s="351">
        <v>73500</v>
      </c>
      <c r="R98" s="483"/>
      <c r="S98" s="351">
        <v>71020</v>
      </c>
      <c r="T98" s="482"/>
      <c r="U98" s="341">
        <v>82385</v>
      </c>
      <c r="V98" s="278"/>
      <c r="W98" s="598">
        <v>74750.53</v>
      </c>
      <c r="X98" s="599"/>
      <c r="Y98" s="357">
        <v>85000</v>
      </c>
      <c r="Z98" s="278"/>
      <c r="AA98" s="278"/>
      <c r="AB98" s="278"/>
      <c r="AC98" s="280">
        <f>Y98+AA98</f>
        <v>85000</v>
      </c>
      <c r="AD98" s="414"/>
      <c r="AE98" s="600">
        <v>83845</v>
      </c>
      <c r="AF98" s="627"/>
      <c r="AG98" s="341">
        <v>87000</v>
      </c>
      <c r="AH98" s="278"/>
      <c r="AI98" s="278"/>
      <c r="AJ98" s="414"/>
      <c r="AK98" s="277">
        <f>AG98+AI98</f>
        <v>87000</v>
      </c>
      <c r="AL98" s="413"/>
      <c r="AM98" s="600">
        <v>85445</v>
      </c>
      <c r="AN98" s="627"/>
      <c r="AO98" s="341">
        <v>88000</v>
      </c>
      <c r="AP98" s="278"/>
      <c r="AQ98" s="278"/>
      <c r="AR98" s="414"/>
      <c r="AS98" s="284">
        <f>SUM(AO98:AR98)</f>
        <v>88000</v>
      </c>
      <c r="AT98" s="413"/>
      <c r="AU98" s="600">
        <v>96345</v>
      </c>
      <c r="AV98" s="627"/>
      <c r="AW98" s="341">
        <v>98000</v>
      </c>
      <c r="AX98" s="278"/>
      <c r="AY98" s="278"/>
      <c r="AZ98" s="414"/>
      <c r="BA98" s="284">
        <f>SUM(AW98:AZ98)</f>
        <v>98000</v>
      </c>
      <c r="BB98" s="413"/>
    </row>
    <row r="99" spans="1:54" x14ac:dyDescent="0.2">
      <c r="A99" s="597"/>
      <c r="B99" s="273" t="s">
        <v>184</v>
      </c>
      <c r="C99" s="277">
        <v>15545</v>
      </c>
      <c r="D99" s="278">
        <v>19202</v>
      </c>
      <c r="E99" s="414"/>
      <c r="F99" s="284">
        <v>20700</v>
      </c>
      <c r="G99" s="282">
        <v>19970</v>
      </c>
      <c r="H99" s="413"/>
      <c r="I99" s="277">
        <v>21150</v>
      </c>
      <c r="J99" s="278"/>
      <c r="K99" s="278">
        <v>9592</v>
      </c>
      <c r="L99" s="413"/>
      <c r="M99" s="277">
        <v>10000</v>
      </c>
      <c r="N99" s="278"/>
      <c r="O99" s="353">
        <v>7967</v>
      </c>
      <c r="P99" s="482"/>
      <c r="Q99" s="351">
        <v>9000</v>
      </c>
      <c r="R99" s="483"/>
      <c r="S99" s="351">
        <v>8170</v>
      </c>
      <c r="T99" s="482"/>
      <c r="U99" s="341">
        <v>9500</v>
      </c>
      <c r="V99" s="278"/>
      <c r="W99" s="598">
        <v>9924.75</v>
      </c>
      <c r="X99" s="599"/>
      <c r="Y99" s="357">
        <v>11000</v>
      </c>
      <c r="Z99" s="278"/>
      <c r="AA99" s="278"/>
      <c r="AB99" s="278"/>
      <c r="AC99" s="280">
        <f>Y99+AA99</f>
        <v>11000</v>
      </c>
      <c r="AD99" s="414"/>
      <c r="AE99" s="600">
        <v>10428</v>
      </c>
      <c r="AF99" s="627"/>
      <c r="AG99" s="341">
        <v>12000</v>
      </c>
      <c r="AH99" s="278"/>
      <c r="AI99" s="278"/>
      <c r="AJ99" s="414"/>
      <c r="AK99" s="277">
        <f>AG99+AI99</f>
        <v>12000</v>
      </c>
      <c r="AL99" s="413"/>
      <c r="AM99" s="600">
        <v>9816.5</v>
      </c>
      <c r="AN99" s="627"/>
      <c r="AO99" s="341">
        <v>10500</v>
      </c>
      <c r="AP99" s="278"/>
      <c r="AQ99" s="278"/>
      <c r="AR99" s="414"/>
      <c r="AS99" s="284">
        <f>SUM(AO99:AR99)</f>
        <v>10500</v>
      </c>
      <c r="AT99" s="413"/>
      <c r="AU99" s="600">
        <v>10450.5</v>
      </c>
      <c r="AV99" s="627"/>
      <c r="AW99" s="341">
        <v>11000</v>
      </c>
      <c r="AX99" s="278"/>
      <c r="AY99" s="278"/>
      <c r="AZ99" s="414"/>
      <c r="BA99" s="284">
        <f>SUM(AW99:AZ99)</f>
        <v>11000</v>
      </c>
      <c r="BB99" s="413"/>
    </row>
    <row r="100" spans="1:54" x14ac:dyDescent="0.2">
      <c r="A100" s="597"/>
      <c r="B100" s="273" t="s">
        <v>185</v>
      </c>
      <c r="C100" s="277">
        <v>9855</v>
      </c>
      <c r="D100" s="278">
        <v>10236</v>
      </c>
      <c r="E100" s="414"/>
      <c r="F100" s="284">
        <v>12000</v>
      </c>
      <c r="G100" s="282">
        <v>11082</v>
      </c>
      <c r="H100" s="413"/>
      <c r="I100" s="277">
        <v>12000</v>
      </c>
      <c r="J100" s="278"/>
      <c r="K100" s="278">
        <v>11430</v>
      </c>
      <c r="L100" s="413"/>
      <c r="M100" s="277">
        <v>12000</v>
      </c>
      <c r="N100" s="278"/>
      <c r="O100" s="353">
        <v>9256</v>
      </c>
      <c r="P100" s="482"/>
      <c r="Q100" s="351">
        <v>10000</v>
      </c>
      <c r="R100" s="483"/>
      <c r="S100" s="351">
        <v>12303</v>
      </c>
      <c r="T100" s="482"/>
      <c r="U100" s="341">
        <v>13000</v>
      </c>
      <c r="V100" s="278"/>
      <c r="W100" s="598">
        <v>13503</v>
      </c>
      <c r="X100" s="599"/>
      <c r="Y100" s="357">
        <v>14500</v>
      </c>
      <c r="Z100" s="278"/>
      <c r="AA100" s="278"/>
      <c r="AB100" s="278"/>
      <c r="AC100" s="280">
        <f>Y100+AA100</f>
        <v>14500</v>
      </c>
      <c r="AD100" s="414"/>
      <c r="AE100" s="600">
        <v>15241</v>
      </c>
      <c r="AF100" s="627"/>
      <c r="AG100" s="341">
        <v>16000</v>
      </c>
      <c r="AH100" s="278"/>
      <c r="AI100" s="278"/>
      <c r="AJ100" s="414"/>
      <c r="AK100" s="277">
        <f>AG100+AI100</f>
        <v>16000</v>
      </c>
      <c r="AL100" s="413"/>
      <c r="AM100" s="600">
        <v>13971</v>
      </c>
      <c r="AN100" s="627"/>
      <c r="AO100" s="341">
        <v>14500</v>
      </c>
      <c r="AP100" s="278"/>
      <c r="AQ100" s="278"/>
      <c r="AR100" s="414"/>
      <c r="AS100" s="284">
        <f>SUM(AO100:AR100)</f>
        <v>14500</v>
      </c>
      <c r="AT100" s="413"/>
      <c r="AU100" s="600">
        <v>16626</v>
      </c>
      <c r="AV100" s="627"/>
      <c r="AW100" s="341">
        <v>17500</v>
      </c>
      <c r="AX100" s="278"/>
      <c r="AY100" s="278"/>
      <c r="AZ100" s="414"/>
      <c r="BA100" s="284">
        <f>SUM(AW100:AZ100)</f>
        <v>17500</v>
      </c>
      <c r="BB100" s="413"/>
    </row>
    <row r="101" spans="1:54" x14ac:dyDescent="0.2">
      <c r="A101" s="597"/>
      <c r="B101" s="273" t="s">
        <v>186</v>
      </c>
      <c r="C101" s="277">
        <v>1835</v>
      </c>
      <c r="D101" s="278">
        <v>1620</v>
      </c>
      <c r="E101" s="414"/>
      <c r="F101" s="284">
        <v>1700</v>
      </c>
      <c r="G101" s="282">
        <v>0</v>
      </c>
      <c r="H101" s="413"/>
      <c r="I101" s="284"/>
      <c r="J101" s="278"/>
      <c r="K101" s="278"/>
      <c r="L101" s="413"/>
      <c r="M101" s="277"/>
      <c r="N101" s="278"/>
      <c r="O101" s="353"/>
      <c r="P101" s="482"/>
      <c r="Q101" s="351"/>
      <c r="R101" s="483"/>
      <c r="S101" s="351">
        <v>0</v>
      </c>
      <c r="T101" s="482"/>
      <c r="U101" s="280"/>
      <c r="V101" s="278"/>
      <c r="W101" s="598">
        <v>0</v>
      </c>
      <c r="X101" s="599"/>
      <c r="Y101" s="277">
        <v>0</v>
      </c>
      <c r="Z101" s="278"/>
      <c r="AA101" s="278"/>
      <c r="AB101" s="278"/>
      <c r="AC101" s="280">
        <f>Y101+AA101</f>
        <v>0</v>
      </c>
      <c r="AD101" s="414"/>
      <c r="AE101" s="600"/>
      <c r="AF101" s="627"/>
      <c r="AG101" s="280">
        <v>0</v>
      </c>
      <c r="AH101" s="278"/>
      <c r="AI101" s="278"/>
      <c r="AJ101" s="414"/>
      <c r="AK101" s="277">
        <f>AG101+AI101</f>
        <v>0</v>
      </c>
      <c r="AL101" s="413"/>
      <c r="AM101" s="600"/>
      <c r="AN101" s="627"/>
      <c r="AO101" s="280">
        <v>0</v>
      </c>
      <c r="AP101" s="278"/>
      <c r="AQ101" s="278"/>
      <c r="AR101" s="414"/>
      <c r="AS101" s="284"/>
      <c r="AT101" s="413"/>
      <c r="AU101" s="600"/>
      <c r="AV101" s="627"/>
      <c r="AW101" s="280">
        <v>0</v>
      </c>
      <c r="AX101" s="278"/>
      <c r="AY101" s="278"/>
      <c r="AZ101" s="414"/>
      <c r="BA101" s="284">
        <f>SUM(AW101:AZ101)</f>
        <v>0</v>
      </c>
      <c r="BB101" s="413"/>
    </row>
    <row r="102" spans="1:54" ht="16.5" thickBot="1" x14ac:dyDescent="0.25">
      <c r="A102" s="628"/>
      <c r="B102" s="385" t="s">
        <v>187</v>
      </c>
      <c r="C102" s="304">
        <v>45.51</v>
      </c>
      <c r="D102" s="305">
        <v>11.91</v>
      </c>
      <c r="E102" s="307"/>
      <c r="F102" s="311"/>
      <c r="G102" s="488">
        <v>75.260000000000005</v>
      </c>
      <c r="H102" s="312"/>
      <c r="I102" s="311"/>
      <c r="J102" s="305"/>
      <c r="K102" s="305">
        <v>2.3199999999999998</v>
      </c>
      <c r="L102" s="312"/>
      <c r="M102" s="304"/>
      <c r="N102" s="305"/>
      <c r="O102" s="445">
        <v>3.38</v>
      </c>
      <c r="P102" s="446"/>
      <c r="Q102" s="447"/>
      <c r="R102" s="391"/>
      <c r="S102" s="351">
        <v>0</v>
      </c>
      <c r="T102" s="446"/>
      <c r="U102" s="310"/>
      <c r="V102" s="305"/>
      <c r="W102" s="598">
        <f>12.87+1100</f>
        <v>1112.8699999999999</v>
      </c>
      <c r="X102" s="629"/>
      <c r="Y102" s="304">
        <v>0</v>
      </c>
      <c r="Z102" s="305"/>
      <c r="AA102" s="305"/>
      <c r="AB102" s="305"/>
      <c r="AC102" s="310">
        <f>Y102+AA102</f>
        <v>0</v>
      </c>
      <c r="AD102" s="307"/>
      <c r="AE102" s="602">
        <v>6.36</v>
      </c>
      <c r="AF102" s="630"/>
      <c r="AG102" s="310">
        <v>0</v>
      </c>
      <c r="AH102" s="305"/>
      <c r="AI102" s="305"/>
      <c r="AJ102" s="307"/>
      <c r="AK102" s="304">
        <f>AG102+AI102</f>
        <v>0</v>
      </c>
      <c r="AL102" s="312"/>
      <c r="AM102" s="602">
        <v>1.94</v>
      </c>
      <c r="AN102" s="630"/>
      <c r="AO102" s="310">
        <v>0</v>
      </c>
      <c r="AP102" s="305"/>
      <c r="AQ102" s="305"/>
      <c r="AR102" s="307"/>
      <c r="AS102" s="284"/>
      <c r="AT102" s="312"/>
      <c r="AU102" s="602"/>
      <c r="AV102" s="630"/>
      <c r="AW102" s="310">
        <v>0</v>
      </c>
      <c r="AX102" s="305"/>
      <c r="AY102" s="305"/>
      <c r="AZ102" s="307"/>
      <c r="BA102" s="284">
        <f>SUM(AW102:AZ102)</f>
        <v>0</v>
      </c>
      <c r="BB102" s="312"/>
    </row>
    <row r="103" spans="1:54" ht="16.5" thickBot="1" x14ac:dyDescent="0.3">
      <c r="A103" s="604"/>
      <c r="B103" s="314" t="s">
        <v>112</v>
      </c>
      <c r="C103" s="315"/>
      <c r="D103" s="316"/>
      <c r="E103" s="317">
        <f>SUM(D98:D102)</f>
        <v>108664.91</v>
      </c>
      <c r="F103" s="315"/>
      <c r="G103" s="316"/>
      <c r="H103" s="318">
        <f>SUM(G98:G102)</f>
        <v>105869.75999999999</v>
      </c>
      <c r="I103" s="315"/>
      <c r="J103" s="631">
        <f>SUM(I98:I102)</f>
        <v>111150</v>
      </c>
      <c r="K103" s="316"/>
      <c r="L103" s="318">
        <f>SUM(K98:K102)</f>
        <v>103745.31000000001</v>
      </c>
      <c r="M103" s="315"/>
      <c r="N103" s="631">
        <f>SUM(M98:M102)</f>
        <v>109000</v>
      </c>
      <c r="O103" s="605"/>
      <c r="P103" s="606">
        <f>SUM(O98:O102)</f>
        <v>75200.38</v>
      </c>
      <c r="Q103" s="607"/>
      <c r="R103" s="632">
        <f>SUM(Q98:Q102)</f>
        <v>92500</v>
      </c>
      <c r="S103" s="607"/>
      <c r="T103" s="606">
        <f>SUM(S98:S102)</f>
        <v>91493</v>
      </c>
      <c r="U103" s="319"/>
      <c r="V103" s="631">
        <f>SUM(U98:U102)</f>
        <v>104885</v>
      </c>
      <c r="W103" s="609"/>
      <c r="X103" s="610">
        <f>SUM(W98:W102)</f>
        <v>99291.15</v>
      </c>
      <c r="Y103" s="315"/>
      <c r="Z103" s="631">
        <f>SUM(Y98:Y102)</f>
        <v>110500</v>
      </c>
      <c r="AA103" s="316"/>
      <c r="AB103" s="631">
        <f>SUM(AA98:AA102)</f>
        <v>0</v>
      </c>
      <c r="AC103" s="319"/>
      <c r="AD103" s="633">
        <f>SUM(AC98:AC102)</f>
        <v>110500</v>
      </c>
      <c r="AE103" s="734"/>
      <c r="AF103" s="735">
        <f>SUM(AE98:AE102)</f>
        <v>109520.36</v>
      </c>
      <c r="AG103" s="319"/>
      <c r="AH103" s="631">
        <f>SUM(AG98:AG102)</f>
        <v>115000</v>
      </c>
      <c r="AI103" s="316"/>
      <c r="AJ103" s="633">
        <f>SUM(AI98:AI102)</f>
        <v>0</v>
      </c>
      <c r="AK103" s="315"/>
      <c r="AL103" s="736">
        <f>SUM(AK98:AK102)</f>
        <v>115000</v>
      </c>
      <c r="AM103" s="734"/>
      <c r="AN103" s="735">
        <f>SUM(AM98:AM102)</f>
        <v>109234.44</v>
      </c>
      <c r="AO103" s="319"/>
      <c r="AP103" s="316">
        <f>SUM(AO98:AO102)</f>
        <v>113000</v>
      </c>
      <c r="AQ103" s="316"/>
      <c r="AR103" s="317">
        <f>SUM(AQ98:AQ102)</f>
        <v>0</v>
      </c>
      <c r="AS103" s="315"/>
      <c r="AT103" s="318">
        <f>SUM(AS98:AS102)</f>
        <v>113000</v>
      </c>
      <c r="AU103" s="734"/>
      <c r="AV103" s="735">
        <f>SUM(AU98:AU102)</f>
        <v>123421.5</v>
      </c>
      <c r="AW103" s="319"/>
      <c r="AX103" s="316">
        <f>SUM(AW98:AW102)</f>
        <v>126500</v>
      </c>
      <c r="AY103" s="316"/>
      <c r="AZ103" s="317">
        <f>SUM(AY98:AY102)</f>
        <v>0</v>
      </c>
      <c r="BA103" s="315"/>
      <c r="BB103" s="318">
        <f>SUM(BA98:BA102)</f>
        <v>126500</v>
      </c>
    </row>
    <row r="104" spans="1:54" x14ac:dyDescent="0.2">
      <c r="A104" s="634">
        <v>76</v>
      </c>
      <c r="B104" s="635" t="s">
        <v>16</v>
      </c>
      <c r="C104" s="636"/>
      <c r="D104" s="637"/>
      <c r="E104" s="638"/>
      <c r="F104" s="636"/>
      <c r="G104" s="637"/>
      <c r="H104" s="639"/>
      <c r="I104" s="636"/>
      <c r="J104" s="637"/>
      <c r="K104" s="637"/>
      <c r="L104" s="639"/>
      <c r="M104" s="636"/>
      <c r="N104" s="637"/>
      <c r="O104" s="640"/>
      <c r="P104" s="639"/>
      <c r="Q104" s="636"/>
      <c r="R104" s="638"/>
      <c r="S104" s="636"/>
      <c r="T104" s="639"/>
      <c r="U104" s="640"/>
      <c r="V104" s="637"/>
      <c r="W104" s="640"/>
      <c r="X104" s="639"/>
      <c r="Y104" s="588"/>
      <c r="Z104" s="589"/>
      <c r="AA104" s="589"/>
      <c r="AB104" s="589"/>
      <c r="AC104" s="613"/>
      <c r="AD104" s="611"/>
      <c r="AE104" s="588"/>
      <c r="AF104" s="612"/>
      <c r="AG104" s="613"/>
      <c r="AH104" s="589"/>
      <c r="AI104" s="589"/>
      <c r="AJ104" s="611"/>
      <c r="AK104" s="588"/>
      <c r="AL104" s="612"/>
      <c r="AM104" s="588"/>
      <c r="AN104" s="612"/>
      <c r="AO104" s="613"/>
      <c r="AP104" s="589"/>
      <c r="AQ104" s="589"/>
      <c r="AR104" s="611"/>
      <c r="AS104" s="588"/>
      <c r="AT104" s="612"/>
      <c r="AU104" s="588"/>
      <c r="AV104" s="612"/>
      <c r="AW104" s="613"/>
      <c r="AX104" s="589"/>
      <c r="AY104" s="589"/>
      <c r="AZ104" s="611"/>
      <c r="BA104" s="588"/>
      <c r="BB104" s="612"/>
    </row>
    <row r="105" spans="1:54" x14ac:dyDescent="0.2">
      <c r="A105" s="479"/>
      <c r="B105" s="273" t="s">
        <v>188</v>
      </c>
      <c r="C105" s="277">
        <v>117.81</v>
      </c>
      <c r="D105" s="278">
        <v>126.03</v>
      </c>
      <c r="E105" s="286"/>
      <c r="F105" s="277"/>
      <c r="G105" s="282"/>
      <c r="H105" s="283"/>
      <c r="I105" s="284"/>
      <c r="J105" s="282"/>
      <c r="K105" s="282">
        <v>65.55</v>
      </c>
      <c r="L105" s="283"/>
      <c r="M105" s="284">
        <v>55</v>
      </c>
      <c r="N105" s="282"/>
      <c r="O105" s="292">
        <v>60.97</v>
      </c>
      <c r="P105" s="440"/>
      <c r="Q105" s="441">
        <v>55</v>
      </c>
      <c r="R105" s="343"/>
      <c r="S105" s="441">
        <v>88</v>
      </c>
      <c r="T105" s="440"/>
      <c r="U105" s="285">
        <v>60</v>
      </c>
      <c r="V105" s="282"/>
      <c r="W105" s="641">
        <v>19.579999999999998</v>
      </c>
      <c r="X105" s="642"/>
      <c r="Y105" s="284">
        <v>50</v>
      </c>
      <c r="Z105" s="282"/>
      <c r="AA105" s="282"/>
      <c r="AB105" s="282"/>
      <c r="AC105" s="285">
        <f>Y105+AA105</f>
        <v>50</v>
      </c>
      <c r="AD105" s="286"/>
      <c r="AE105" s="617">
        <v>412.35</v>
      </c>
      <c r="AF105" s="643"/>
      <c r="AG105" s="285">
        <v>400</v>
      </c>
      <c r="AH105" s="282"/>
      <c r="AI105" s="282"/>
      <c r="AJ105" s="286"/>
      <c r="AK105" s="284">
        <f>AG105+AI105</f>
        <v>400</v>
      </c>
      <c r="AL105" s="283"/>
      <c r="AM105" s="617">
        <v>427.29</v>
      </c>
      <c r="AN105" s="643"/>
      <c r="AO105" s="285">
        <v>400</v>
      </c>
      <c r="AP105" s="282"/>
      <c r="AQ105" s="282"/>
      <c r="AR105" s="286"/>
      <c r="AS105" s="284">
        <f>SUM(AO105:AR105)</f>
        <v>400</v>
      </c>
      <c r="AT105" s="283"/>
      <c r="AU105" s="617">
        <v>62.15</v>
      </c>
      <c r="AV105" s="643"/>
      <c r="AW105" s="285">
        <v>400</v>
      </c>
      <c r="AX105" s="282"/>
      <c r="AY105" s="282" t="s">
        <v>200</v>
      </c>
      <c r="AZ105" s="286"/>
      <c r="BA105" s="284">
        <f>SUM(AW105:AZ105)</f>
        <v>400</v>
      </c>
      <c r="BB105" s="283"/>
    </row>
    <row r="106" spans="1:54" x14ac:dyDescent="0.2">
      <c r="A106" s="597"/>
      <c r="B106" s="273" t="s">
        <v>189</v>
      </c>
      <c r="C106" s="277">
        <v>350.6</v>
      </c>
      <c r="D106" s="278">
        <v>4124.09</v>
      </c>
      <c r="E106" s="286"/>
      <c r="F106" s="277">
        <v>400</v>
      </c>
      <c r="G106" s="278">
        <v>1187.32</v>
      </c>
      <c r="H106" s="283"/>
      <c r="I106" s="284"/>
      <c r="J106" s="282"/>
      <c r="K106" s="282">
        <v>1016</v>
      </c>
      <c r="L106" s="283"/>
      <c r="M106" s="284"/>
      <c r="N106" s="282"/>
      <c r="O106" s="292"/>
      <c r="P106" s="440"/>
      <c r="Q106" s="441"/>
      <c r="R106" s="343"/>
      <c r="S106" s="441">
        <v>3</v>
      </c>
      <c r="T106" s="440"/>
      <c r="U106" s="285"/>
      <c r="V106" s="282"/>
      <c r="W106" s="641"/>
      <c r="X106" s="642"/>
      <c r="Y106" s="284"/>
      <c r="Z106" s="282"/>
      <c r="AA106" s="282"/>
      <c r="AB106" s="282"/>
      <c r="AC106" s="285">
        <f>Y106+AA106</f>
        <v>0</v>
      </c>
      <c r="AD106" s="286"/>
      <c r="AE106" s="617">
        <v>6359.78</v>
      </c>
      <c r="AF106" s="643"/>
      <c r="AG106" s="285">
        <v>0</v>
      </c>
      <c r="AH106" s="282"/>
      <c r="AI106" s="282"/>
      <c r="AJ106" s="286"/>
      <c r="AK106" s="284">
        <f>AG106+AI106</f>
        <v>0</v>
      </c>
      <c r="AL106" s="283"/>
      <c r="AM106" s="617">
        <f>1937.49+699.02</f>
        <v>2636.51</v>
      </c>
      <c r="AN106" s="643"/>
      <c r="AO106" s="285"/>
      <c r="AP106" s="282"/>
      <c r="AQ106" s="282"/>
      <c r="AR106" s="286"/>
      <c r="AS106" s="284"/>
      <c r="AT106" s="283"/>
      <c r="AU106" s="617">
        <f>6320.62+206.84-100</f>
        <v>6427.46</v>
      </c>
      <c r="AV106" s="643"/>
      <c r="AW106" s="285"/>
      <c r="AX106" s="282"/>
      <c r="AY106" s="282"/>
      <c r="AZ106" s="286"/>
      <c r="BA106" s="284">
        <f>SUM(AW106:AZ106)</f>
        <v>0</v>
      </c>
      <c r="BB106" s="283"/>
    </row>
    <row r="107" spans="1:54" x14ac:dyDescent="0.2">
      <c r="A107" s="634">
        <v>77</v>
      </c>
      <c r="B107" s="273" t="s">
        <v>190</v>
      </c>
      <c r="C107" s="277">
        <v>14400</v>
      </c>
      <c r="D107" s="278">
        <v>15377.07</v>
      </c>
      <c r="E107" s="414"/>
      <c r="F107" s="277">
        <v>15950</v>
      </c>
      <c r="G107" s="278">
        <v>16066.5</v>
      </c>
      <c r="H107" s="413"/>
      <c r="I107" s="277">
        <v>16000</v>
      </c>
      <c r="J107" s="278"/>
      <c r="K107" s="278">
        <v>16066.5</v>
      </c>
      <c r="L107" s="413"/>
      <c r="M107" s="277">
        <v>16000</v>
      </c>
      <c r="N107" s="278"/>
      <c r="O107" s="353">
        <v>15089.93</v>
      </c>
      <c r="P107" s="482"/>
      <c r="Q107" s="351">
        <v>16700</v>
      </c>
      <c r="R107" s="483"/>
      <c r="S107" s="441">
        <v>14400</v>
      </c>
      <c r="T107" s="482"/>
      <c r="U107" s="280">
        <v>15000</v>
      </c>
      <c r="V107" s="278"/>
      <c r="W107" s="641">
        <v>14400</v>
      </c>
      <c r="X107" s="644"/>
      <c r="Y107" s="277">
        <v>14400</v>
      </c>
      <c r="Z107" s="278"/>
      <c r="AA107" s="278"/>
      <c r="AB107" s="278"/>
      <c r="AC107" s="285">
        <f>Y107+AA107</f>
        <v>14400</v>
      </c>
      <c r="AD107" s="414"/>
      <c r="AE107" s="600">
        <v>14400</v>
      </c>
      <c r="AF107" s="627"/>
      <c r="AG107" s="280">
        <v>14400</v>
      </c>
      <c r="AH107" s="278"/>
      <c r="AI107" s="278"/>
      <c r="AJ107" s="414"/>
      <c r="AK107" s="284">
        <f>AG107+AI107</f>
        <v>14400</v>
      </c>
      <c r="AL107" s="413"/>
      <c r="AM107" s="600">
        <v>21868.19</v>
      </c>
      <c r="AN107" s="627"/>
      <c r="AO107" s="280">
        <v>24600</v>
      </c>
      <c r="AP107" s="278"/>
      <c r="AQ107" s="278"/>
      <c r="AR107" s="414"/>
      <c r="AS107" s="284">
        <f>SUM(AO107:AR107)</f>
        <v>24600</v>
      </c>
      <c r="AT107" s="413"/>
      <c r="AU107" s="600">
        <v>21868.19</v>
      </c>
      <c r="AV107" s="627"/>
      <c r="AW107" s="280">
        <v>21800</v>
      </c>
      <c r="AX107" s="278"/>
      <c r="AY107" s="278"/>
      <c r="AZ107" s="414"/>
      <c r="BA107" s="284">
        <f>SUM(AW107:AZ107)</f>
        <v>21800</v>
      </c>
      <c r="BB107" s="413"/>
    </row>
    <row r="108" spans="1:54" ht="16.5" thickBot="1" x14ac:dyDescent="0.25">
      <c r="A108" s="645"/>
      <c r="B108" s="295" t="s">
        <v>191</v>
      </c>
      <c r="C108" s="554"/>
      <c r="D108" s="552"/>
      <c r="E108" s="556"/>
      <c r="F108" s="554"/>
      <c r="G108" s="297">
        <v>57.26</v>
      </c>
      <c r="H108" s="553"/>
      <c r="I108" s="554"/>
      <c r="J108" s="552"/>
      <c r="K108" s="552">
        <v>-57.25</v>
      </c>
      <c r="L108" s="553"/>
      <c r="M108" s="554"/>
      <c r="N108" s="552"/>
      <c r="O108" s="646">
        <v>288</v>
      </c>
      <c r="P108" s="647"/>
      <c r="Q108" s="648"/>
      <c r="R108" s="649"/>
      <c r="S108" s="441"/>
      <c r="T108" s="647"/>
      <c r="U108" s="555"/>
      <c r="V108" s="552"/>
      <c r="W108" s="641">
        <v>212.45</v>
      </c>
      <c r="X108" s="650"/>
      <c r="Y108" s="311"/>
      <c r="Z108" s="488"/>
      <c r="AA108" s="488"/>
      <c r="AB108" s="488"/>
      <c r="AC108" s="306">
        <f>Y108+AA108</f>
        <v>0</v>
      </c>
      <c r="AD108" s="495"/>
      <c r="AE108" s="620">
        <v>4146.66</v>
      </c>
      <c r="AF108" s="651"/>
      <c r="AG108" s="306">
        <v>3000</v>
      </c>
      <c r="AH108" s="488"/>
      <c r="AI108" s="488"/>
      <c r="AJ108" s="495"/>
      <c r="AK108" s="311">
        <f>AG108+AI108</f>
        <v>3000</v>
      </c>
      <c r="AL108" s="489"/>
      <c r="AM108" s="620">
        <v>3879.52</v>
      </c>
      <c r="AN108" s="651"/>
      <c r="AO108" s="306"/>
      <c r="AP108" s="488"/>
      <c r="AQ108" s="488"/>
      <c r="AR108" s="495"/>
      <c r="AS108" s="284"/>
      <c r="AT108" s="489"/>
      <c r="AU108" s="620"/>
      <c r="AV108" s="651"/>
      <c r="AW108" s="306"/>
      <c r="AX108" s="488"/>
      <c r="AY108" s="488"/>
      <c r="AZ108" s="495"/>
      <c r="BA108" s="284">
        <f>SUM(AW108:AZ108)</f>
        <v>0</v>
      </c>
      <c r="BB108" s="489"/>
    </row>
    <row r="109" spans="1:54" ht="16.5" thickBot="1" x14ac:dyDescent="0.3">
      <c r="A109" s="604"/>
      <c r="B109" s="314" t="s">
        <v>112</v>
      </c>
      <c r="C109" s="315"/>
      <c r="D109" s="316"/>
      <c r="E109" s="317">
        <f>SUM(D105:D108)</f>
        <v>19627.189999999999</v>
      </c>
      <c r="F109" s="315"/>
      <c r="G109" s="316"/>
      <c r="H109" s="318">
        <f>SUM(G105:G108)</f>
        <v>17311.079999999998</v>
      </c>
      <c r="I109" s="315"/>
      <c r="J109" s="631">
        <f>SUM(I104:I108)</f>
        <v>16000</v>
      </c>
      <c r="K109" s="316"/>
      <c r="L109" s="318">
        <f>SUM(K105:K108)</f>
        <v>17090.8</v>
      </c>
      <c r="M109" s="315"/>
      <c r="N109" s="631">
        <f>SUM(M104:M108)</f>
        <v>16055</v>
      </c>
      <c r="O109" s="605"/>
      <c r="P109" s="606">
        <f>SUM(O105:O108)</f>
        <v>15438.9</v>
      </c>
      <c r="Q109" s="607"/>
      <c r="R109" s="632">
        <f>SUM(Q104:Q108)</f>
        <v>16755</v>
      </c>
      <c r="S109" s="607"/>
      <c r="T109" s="652">
        <f>SUM(S104:S108)</f>
        <v>14491</v>
      </c>
      <c r="U109" s="319"/>
      <c r="V109" s="631">
        <f>SUM(U104:U108)</f>
        <v>15060</v>
      </c>
      <c r="W109" s="609"/>
      <c r="X109" s="653">
        <f>SUM(W104:W108)</f>
        <v>14632.03</v>
      </c>
      <c r="Y109" s="315"/>
      <c r="Z109" s="631">
        <f>SUM(Y104:Y108)</f>
        <v>14450</v>
      </c>
      <c r="AA109" s="316"/>
      <c r="AB109" s="631"/>
      <c r="AC109" s="319"/>
      <c r="AD109" s="633">
        <f>SUM(AC104:AC108)</f>
        <v>14450</v>
      </c>
      <c r="AE109" s="734"/>
      <c r="AF109" s="735">
        <f>SUM(AE104:AE108)</f>
        <v>25318.79</v>
      </c>
      <c r="AG109" s="319"/>
      <c r="AH109" s="631">
        <f>SUM(AG104:AG108)</f>
        <v>17800</v>
      </c>
      <c r="AI109" s="316"/>
      <c r="AJ109" s="633">
        <f>SUM(AI104:AI108)</f>
        <v>0</v>
      </c>
      <c r="AK109" s="315"/>
      <c r="AL109" s="736">
        <f>SUM(AK104:AK108)</f>
        <v>17800</v>
      </c>
      <c r="AM109" s="734"/>
      <c r="AN109" s="735">
        <f>SUM(AM104:AM108)</f>
        <v>28811.51</v>
      </c>
      <c r="AO109" s="319"/>
      <c r="AP109" s="316">
        <f>SUM(AO105:AO108)</f>
        <v>25000</v>
      </c>
      <c r="AQ109" s="316"/>
      <c r="AR109" s="317">
        <f>SUM(AQ104:AQ108)</f>
        <v>0</v>
      </c>
      <c r="AS109" s="315"/>
      <c r="AT109" s="318">
        <f>SUM(AS105:AS108)</f>
        <v>25000</v>
      </c>
      <c r="AU109" s="734"/>
      <c r="AV109" s="735">
        <f>SUM(AU105:AU108)</f>
        <v>28357.8</v>
      </c>
      <c r="AW109" s="319"/>
      <c r="AX109" s="316">
        <f>SUM(AW105:AW108)</f>
        <v>22200</v>
      </c>
      <c r="AY109" s="316"/>
      <c r="AZ109" s="317">
        <f>SUM(AY104:AY108)</f>
        <v>0</v>
      </c>
      <c r="BA109" s="315"/>
      <c r="BB109" s="318">
        <f>SUM(BA105:BA108)</f>
        <v>22200</v>
      </c>
    </row>
    <row r="110" spans="1:54" ht="16.5" thickBot="1" x14ac:dyDescent="0.25">
      <c r="A110" s="654"/>
      <c r="B110" s="655"/>
      <c r="C110" s="656"/>
      <c r="D110" s="657"/>
      <c r="E110" s="658"/>
      <c r="F110" s="659"/>
      <c r="G110" s="660"/>
      <c r="H110" s="661"/>
      <c r="I110" s="659"/>
      <c r="J110" s="660"/>
      <c r="K110" s="660"/>
      <c r="L110" s="661"/>
      <c r="M110" s="659"/>
      <c r="N110" s="660"/>
      <c r="O110" s="662"/>
      <c r="P110" s="661"/>
      <c r="Q110" s="659"/>
      <c r="R110" s="658"/>
      <c r="S110" s="659"/>
      <c r="T110" s="661"/>
      <c r="U110" s="662"/>
      <c r="V110" s="660"/>
      <c r="W110" s="662"/>
      <c r="X110" s="661"/>
      <c r="Y110" s="663"/>
      <c r="Z110" s="664"/>
      <c r="AA110" s="664"/>
      <c r="AB110" s="664"/>
      <c r="AC110" s="665"/>
      <c r="AD110" s="666"/>
      <c r="AE110" s="663"/>
      <c r="AF110" s="667"/>
      <c r="AG110" s="665"/>
      <c r="AH110" s="664"/>
      <c r="AI110" s="664"/>
      <c r="AJ110" s="666"/>
      <c r="AK110" s="663"/>
      <c r="AL110" s="668"/>
      <c r="AM110" s="663"/>
      <c r="AN110" s="667"/>
      <c r="AO110" s="665"/>
      <c r="AP110" s="664"/>
      <c r="AQ110" s="664"/>
      <c r="AR110" s="666"/>
      <c r="AS110" s="663"/>
      <c r="AT110" s="668"/>
      <c r="AU110" s="663"/>
      <c r="AV110" s="667"/>
      <c r="AW110" s="665"/>
      <c r="AX110" s="664"/>
      <c r="AY110" s="664"/>
      <c r="AZ110" s="666"/>
      <c r="BA110" s="663"/>
      <c r="BB110" s="668"/>
    </row>
    <row r="111" spans="1:54" ht="16.5" thickBot="1" x14ac:dyDescent="0.25">
      <c r="A111" s="313"/>
      <c r="B111" s="439" t="s">
        <v>15</v>
      </c>
      <c r="C111" s="399">
        <f>SUM(C76:C109)</f>
        <v>262888.86</v>
      </c>
      <c r="D111" s="400">
        <f>SUM(D76:D109)</f>
        <v>291350.41000000003</v>
      </c>
      <c r="E111" s="398">
        <f>E109+E103+E96+E84</f>
        <v>291350.41000000003</v>
      </c>
      <c r="F111" s="399">
        <f>SUM(F76:F108)</f>
        <v>287650</v>
      </c>
      <c r="G111" s="400">
        <f>SUM(G77:G108)</f>
        <v>299203.76</v>
      </c>
      <c r="H111" s="401">
        <f>H109+H103+H96+H84</f>
        <v>299203.76</v>
      </c>
      <c r="I111" s="399">
        <f t="shared" ref="I111:BB111" si="30">SUM(I77:I110)</f>
        <v>290450</v>
      </c>
      <c r="J111" s="400">
        <f t="shared" si="30"/>
        <v>290450</v>
      </c>
      <c r="K111" s="400">
        <f t="shared" si="30"/>
        <v>296075.73</v>
      </c>
      <c r="L111" s="401">
        <f t="shared" si="30"/>
        <v>296075.73</v>
      </c>
      <c r="M111" s="399">
        <f t="shared" si="30"/>
        <v>307455</v>
      </c>
      <c r="N111" s="400">
        <f t="shared" si="30"/>
        <v>307455</v>
      </c>
      <c r="O111" s="402">
        <f t="shared" si="30"/>
        <v>253309.97</v>
      </c>
      <c r="P111" s="401">
        <f t="shared" si="30"/>
        <v>253309.97</v>
      </c>
      <c r="Q111" s="399">
        <f t="shared" si="30"/>
        <v>263155</v>
      </c>
      <c r="R111" s="398">
        <f t="shared" si="30"/>
        <v>263155</v>
      </c>
      <c r="S111" s="399">
        <f t="shared" si="30"/>
        <v>278683</v>
      </c>
      <c r="T111" s="401">
        <f t="shared" si="30"/>
        <v>278683</v>
      </c>
      <c r="U111" s="402">
        <f t="shared" si="30"/>
        <v>314445</v>
      </c>
      <c r="V111" s="400">
        <f t="shared" si="30"/>
        <v>314445</v>
      </c>
      <c r="W111" s="402">
        <f t="shared" si="30"/>
        <v>325347.82</v>
      </c>
      <c r="X111" s="401">
        <f t="shared" si="30"/>
        <v>325347.82000000007</v>
      </c>
      <c r="Y111" s="399">
        <f t="shared" si="30"/>
        <v>315450</v>
      </c>
      <c r="Z111" s="400">
        <f t="shared" si="30"/>
        <v>315450</v>
      </c>
      <c r="AA111" s="400">
        <f t="shared" si="30"/>
        <v>40000</v>
      </c>
      <c r="AB111" s="400">
        <f t="shared" si="30"/>
        <v>40000</v>
      </c>
      <c r="AC111" s="402">
        <f t="shared" si="30"/>
        <v>355450</v>
      </c>
      <c r="AD111" s="398">
        <f t="shared" si="30"/>
        <v>355450</v>
      </c>
      <c r="AE111" s="399">
        <f t="shared" si="30"/>
        <v>347596.70999999996</v>
      </c>
      <c r="AF111" s="669">
        <f t="shared" si="30"/>
        <v>347596.70999999996</v>
      </c>
      <c r="AG111" s="402">
        <f t="shared" si="30"/>
        <v>320700</v>
      </c>
      <c r="AH111" s="400">
        <f t="shared" si="30"/>
        <v>320700</v>
      </c>
      <c r="AI111" s="400">
        <f t="shared" si="30"/>
        <v>35500</v>
      </c>
      <c r="AJ111" s="398">
        <f t="shared" si="30"/>
        <v>35500</v>
      </c>
      <c r="AK111" s="399">
        <f t="shared" si="30"/>
        <v>356200</v>
      </c>
      <c r="AL111" s="401">
        <f t="shared" si="30"/>
        <v>356200</v>
      </c>
      <c r="AM111" s="399">
        <f t="shared" si="30"/>
        <v>393883.7</v>
      </c>
      <c r="AN111" s="669">
        <f t="shared" si="30"/>
        <v>393883.7</v>
      </c>
      <c r="AO111" s="669">
        <f t="shared" si="30"/>
        <v>364000</v>
      </c>
      <c r="AP111" s="669">
        <f t="shared" si="30"/>
        <v>364000</v>
      </c>
      <c r="AQ111" s="669">
        <f t="shared" si="30"/>
        <v>58000</v>
      </c>
      <c r="AR111" s="669">
        <f t="shared" si="30"/>
        <v>58000</v>
      </c>
      <c r="AS111" s="669">
        <f t="shared" si="30"/>
        <v>422000</v>
      </c>
      <c r="AT111" s="669">
        <f t="shared" si="30"/>
        <v>422000</v>
      </c>
      <c r="AU111" s="399">
        <f t="shared" si="30"/>
        <v>428964.67000000004</v>
      </c>
      <c r="AV111" s="669">
        <f t="shared" si="30"/>
        <v>428964.67</v>
      </c>
      <c r="AW111" s="669">
        <f t="shared" si="30"/>
        <v>384200</v>
      </c>
      <c r="AX111" s="669">
        <f t="shared" si="30"/>
        <v>384200</v>
      </c>
      <c r="AY111" s="669">
        <f t="shared" si="30"/>
        <v>45000</v>
      </c>
      <c r="AZ111" s="669">
        <f t="shared" si="30"/>
        <v>45000</v>
      </c>
      <c r="BA111" s="669">
        <f t="shared" si="30"/>
        <v>429200</v>
      </c>
      <c r="BB111" s="669">
        <f t="shared" si="30"/>
        <v>429200</v>
      </c>
    </row>
    <row r="112" spans="1:54" x14ac:dyDescent="0.2">
      <c r="A112" s="670"/>
      <c r="B112" s="655"/>
      <c r="C112" s="671"/>
      <c r="D112" s="672"/>
      <c r="E112" s="673"/>
      <c r="F112" s="671"/>
      <c r="G112" s="672"/>
      <c r="H112" s="674"/>
      <c r="I112" s="671"/>
      <c r="J112" s="672"/>
      <c r="K112" s="672"/>
      <c r="L112" s="674"/>
      <c r="M112" s="671"/>
      <c r="N112" s="672"/>
      <c r="O112" s="675"/>
      <c r="P112" s="674"/>
      <c r="Q112" s="671"/>
      <c r="R112" s="673"/>
      <c r="S112" s="671"/>
      <c r="T112" s="674"/>
      <c r="U112" s="675"/>
      <c r="V112" s="672"/>
      <c r="W112" s="675"/>
      <c r="X112" s="674"/>
      <c r="Y112" s="671"/>
      <c r="Z112" s="672"/>
      <c r="AA112" s="672"/>
      <c r="AB112" s="672"/>
      <c r="AC112" s="675"/>
      <c r="AD112" s="673"/>
      <c r="AE112" s="671"/>
      <c r="AF112" s="674"/>
      <c r="AG112" s="675"/>
      <c r="AH112" s="672"/>
      <c r="AI112" s="672"/>
      <c r="AJ112" s="673"/>
      <c r="AK112" s="671"/>
      <c r="AL112" s="674"/>
      <c r="AM112" s="671"/>
      <c r="AN112" s="674"/>
      <c r="AO112" s="675"/>
      <c r="AP112" s="672"/>
      <c r="AQ112" s="672"/>
      <c r="AR112" s="673"/>
      <c r="AS112" s="671"/>
      <c r="AT112" s="674"/>
      <c r="AU112" s="671"/>
      <c r="AV112" s="674"/>
      <c r="AW112" s="675"/>
      <c r="AX112" s="672"/>
      <c r="AY112" s="672"/>
      <c r="AZ112" s="673"/>
      <c r="BA112" s="671"/>
      <c r="BB112" s="674"/>
    </row>
    <row r="113" spans="1:54" x14ac:dyDescent="0.2">
      <c r="A113" s="676">
        <v>87</v>
      </c>
      <c r="B113" s="677" t="s">
        <v>9</v>
      </c>
      <c r="C113" s="678">
        <v>255000</v>
      </c>
      <c r="D113" s="679">
        <v>255000</v>
      </c>
      <c r="E113" s="680">
        <v>255000</v>
      </c>
      <c r="F113" s="678">
        <v>255000</v>
      </c>
      <c r="G113" s="679">
        <v>255000</v>
      </c>
      <c r="H113" s="681">
        <v>255000</v>
      </c>
      <c r="I113" s="678">
        <v>255000</v>
      </c>
      <c r="J113" s="679">
        <v>255000</v>
      </c>
      <c r="K113" s="679">
        <v>255000</v>
      </c>
      <c r="L113" s="681">
        <v>255000</v>
      </c>
      <c r="M113" s="678">
        <v>255000</v>
      </c>
      <c r="N113" s="679">
        <v>255000</v>
      </c>
      <c r="O113" s="682">
        <v>255000</v>
      </c>
      <c r="P113" s="681">
        <v>255000</v>
      </c>
      <c r="Q113" s="678">
        <v>255000</v>
      </c>
      <c r="R113" s="680">
        <v>255000</v>
      </c>
      <c r="S113" s="678">
        <v>255000</v>
      </c>
      <c r="T113" s="681">
        <v>255000</v>
      </c>
      <c r="U113" s="682">
        <v>255000</v>
      </c>
      <c r="V113" s="679">
        <v>255000</v>
      </c>
      <c r="W113" s="682">
        <v>255000</v>
      </c>
      <c r="X113" s="681">
        <v>255000</v>
      </c>
      <c r="Y113" s="678">
        <v>255000</v>
      </c>
      <c r="Z113" s="679">
        <v>255000</v>
      </c>
      <c r="AA113" s="679">
        <v>9900</v>
      </c>
      <c r="AB113" s="679">
        <v>9900</v>
      </c>
      <c r="AC113" s="682">
        <f>Y113+AA113</f>
        <v>264900</v>
      </c>
      <c r="AD113" s="683">
        <f>Z113+AB113</f>
        <v>264900</v>
      </c>
      <c r="AE113" s="678">
        <f>AC113</f>
        <v>264900</v>
      </c>
      <c r="AF113" s="681">
        <f>AD113</f>
        <v>264900</v>
      </c>
      <c r="AG113" s="682">
        <v>255000</v>
      </c>
      <c r="AH113" s="679">
        <v>255000</v>
      </c>
      <c r="AI113" s="679">
        <v>9900</v>
      </c>
      <c r="AJ113" s="680">
        <v>9900</v>
      </c>
      <c r="AK113" s="678">
        <v>255000</v>
      </c>
      <c r="AL113" s="681">
        <v>255000</v>
      </c>
      <c r="AM113" s="678">
        <v>264900</v>
      </c>
      <c r="AN113" s="681">
        <v>264900</v>
      </c>
      <c r="AO113" s="682">
        <v>255000</v>
      </c>
      <c r="AP113" s="679">
        <v>255000</v>
      </c>
      <c r="AQ113" s="679">
        <v>9900</v>
      </c>
      <c r="AR113" s="680">
        <v>9900</v>
      </c>
      <c r="AS113" s="678">
        <f>AP113+AR113</f>
        <v>264900</v>
      </c>
      <c r="AT113" s="681">
        <f>AS113</f>
        <v>264900</v>
      </c>
      <c r="AU113" s="678">
        <v>264900</v>
      </c>
      <c r="AV113" s="681">
        <v>264900</v>
      </c>
      <c r="AW113" s="682">
        <v>255000</v>
      </c>
      <c r="AX113" s="679">
        <v>255000</v>
      </c>
      <c r="AY113" s="679">
        <v>9900</v>
      </c>
      <c r="AZ113" s="680">
        <v>9900</v>
      </c>
      <c r="BA113" s="678">
        <f>AX113+AZ113</f>
        <v>264900</v>
      </c>
      <c r="BB113" s="681">
        <f>BA113</f>
        <v>264900</v>
      </c>
    </row>
    <row r="114" spans="1:54" ht="16.5" thickBot="1" x14ac:dyDescent="0.25">
      <c r="A114" s="684"/>
      <c r="B114" s="685"/>
      <c r="C114" s="686"/>
      <c r="D114" s="687"/>
      <c r="E114" s="485"/>
      <c r="F114" s="686"/>
      <c r="G114" s="687"/>
      <c r="H114" s="688"/>
      <c r="I114" s="686"/>
      <c r="J114" s="687"/>
      <c r="K114" s="687"/>
      <c r="L114" s="688"/>
      <c r="M114" s="686"/>
      <c r="N114" s="687"/>
      <c r="O114" s="689"/>
      <c r="P114" s="688"/>
      <c r="Q114" s="686"/>
      <c r="R114" s="485"/>
      <c r="S114" s="686"/>
      <c r="T114" s="688"/>
      <c r="U114" s="689"/>
      <c r="V114" s="687"/>
      <c r="W114" s="689"/>
      <c r="X114" s="688"/>
      <c r="Y114" s="686"/>
      <c r="Z114" s="687"/>
      <c r="AA114" s="687"/>
      <c r="AB114" s="687"/>
      <c r="AC114" s="689"/>
      <c r="AD114" s="485"/>
      <c r="AE114" s="686"/>
      <c r="AF114" s="688"/>
      <c r="AG114" s="689"/>
      <c r="AH114" s="687"/>
      <c r="AI114" s="687"/>
      <c r="AJ114" s="485"/>
      <c r="AK114" s="686"/>
      <c r="AL114" s="688"/>
      <c r="AM114" s="686"/>
      <c r="AN114" s="688"/>
      <c r="AO114" s="689"/>
      <c r="AP114" s="687"/>
      <c r="AQ114" s="687"/>
      <c r="AR114" s="485"/>
      <c r="AS114" s="686"/>
      <c r="AT114" s="688"/>
      <c r="AU114" s="686"/>
      <c r="AV114" s="688"/>
      <c r="AW114" s="689"/>
      <c r="AX114" s="687"/>
      <c r="AY114" s="687"/>
      <c r="AZ114" s="485"/>
      <c r="BA114" s="686"/>
      <c r="BB114" s="688"/>
    </row>
    <row r="115" spans="1:54" ht="19.5" thickBot="1" x14ac:dyDescent="0.25">
      <c r="A115" s="558"/>
      <c r="B115" s="559" t="s">
        <v>19</v>
      </c>
      <c r="C115" s="690">
        <f t="shared" ref="C115:AB115" si="31">C113+C111</f>
        <v>517888.86</v>
      </c>
      <c r="D115" s="691">
        <f t="shared" si="31"/>
        <v>546350.41</v>
      </c>
      <c r="E115" s="692">
        <f t="shared" si="31"/>
        <v>546350.41</v>
      </c>
      <c r="F115" s="690">
        <f t="shared" si="31"/>
        <v>542650</v>
      </c>
      <c r="G115" s="691">
        <f t="shared" si="31"/>
        <v>554203.76</v>
      </c>
      <c r="H115" s="693">
        <f t="shared" si="31"/>
        <v>554203.76</v>
      </c>
      <c r="I115" s="690">
        <f t="shared" si="31"/>
        <v>545450</v>
      </c>
      <c r="J115" s="691">
        <f t="shared" si="31"/>
        <v>545450</v>
      </c>
      <c r="K115" s="691">
        <f t="shared" si="31"/>
        <v>551075.73</v>
      </c>
      <c r="L115" s="693">
        <f t="shared" si="31"/>
        <v>551075.73</v>
      </c>
      <c r="M115" s="690">
        <f t="shared" si="31"/>
        <v>562455</v>
      </c>
      <c r="N115" s="691">
        <f t="shared" si="31"/>
        <v>562455</v>
      </c>
      <c r="O115" s="694">
        <f t="shared" si="31"/>
        <v>508309.97</v>
      </c>
      <c r="P115" s="693">
        <f t="shared" si="31"/>
        <v>508309.97</v>
      </c>
      <c r="Q115" s="690">
        <f t="shared" si="31"/>
        <v>518155</v>
      </c>
      <c r="R115" s="692">
        <f t="shared" si="31"/>
        <v>518155</v>
      </c>
      <c r="S115" s="690">
        <f t="shared" si="31"/>
        <v>533683</v>
      </c>
      <c r="T115" s="693">
        <f t="shared" si="31"/>
        <v>533683</v>
      </c>
      <c r="U115" s="694">
        <f t="shared" si="31"/>
        <v>569445</v>
      </c>
      <c r="V115" s="691">
        <f t="shared" si="31"/>
        <v>569445</v>
      </c>
      <c r="W115" s="694">
        <f t="shared" si="31"/>
        <v>580347.82000000007</v>
      </c>
      <c r="X115" s="693">
        <f t="shared" si="31"/>
        <v>580347.82000000007</v>
      </c>
      <c r="Y115" s="690">
        <f t="shared" si="31"/>
        <v>570450</v>
      </c>
      <c r="Z115" s="691">
        <f t="shared" si="31"/>
        <v>570450</v>
      </c>
      <c r="AA115" s="692">
        <f t="shared" si="31"/>
        <v>49900</v>
      </c>
      <c r="AB115" s="691">
        <f t="shared" si="31"/>
        <v>49900</v>
      </c>
      <c r="AC115" s="694">
        <f>AA115+Y115</f>
        <v>620350</v>
      </c>
      <c r="AD115" s="692">
        <f>AA115+Z115</f>
        <v>620350</v>
      </c>
      <c r="AE115" s="690">
        <f>SUM(AE111:AE114)</f>
        <v>612496.71</v>
      </c>
      <c r="AF115" s="693">
        <f>SUM(AF111:AF114)</f>
        <v>612496.71</v>
      </c>
      <c r="AG115" s="694">
        <f>AG113+AG111</f>
        <v>575700</v>
      </c>
      <c r="AH115" s="691">
        <f>AH113+AH111</f>
        <v>575700</v>
      </c>
      <c r="AI115" s="692">
        <f>AI113+AI111</f>
        <v>45400</v>
      </c>
      <c r="AJ115" s="692">
        <f>AJ113+AJ111</f>
        <v>45400</v>
      </c>
      <c r="AK115" s="690">
        <f>AI115+AG115</f>
        <v>621100</v>
      </c>
      <c r="AL115" s="693">
        <f>AI115+AH115</f>
        <v>621100</v>
      </c>
      <c r="AM115" s="690">
        <f t="shared" ref="AM115:BB115" si="32">SUM(AM111:AM114)</f>
        <v>658783.69999999995</v>
      </c>
      <c r="AN115" s="690">
        <f t="shared" si="32"/>
        <v>658783.69999999995</v>
      </c>
      <c r="AO115" s="690">
        <f t="shared" si="32"/>
        <v>619000</v>
      </c>
      <c r="AP115" s="690">
        <f t="shared" si="32"/>
        <v>619000</v>
      </c>
      <c r="AQ115" s="690">
        <f t="shared" si="32"/>
        <v>67900</v>
      </c>
      <c r="AR115" s="690">
        <f t="shared" si="32"/>
        <v>67900</v>
      </c>
      <c r="AS115" s="690">
        <f t="shared" si="32"/>
        <v>686900</v>
      </c>
      <c r="AT115" s="695">
        <f t="shared" si="32"/>
        <v>686900</v>
      </c>
      <c r="AU115" s="690">
        <f t="shared" si="32"/>
        <v>693864.67</v>
      </c>
      <c r="AV115" s="690">
        <f t="shared" si="32"/>
        <v>693864.66999999993</v>
      </c>
      <c r="AW115" s="690">
        <f t="shared" si="32"/>
        <v>639200</v>
      </c>
      <c r="AX115" s="690">
        <f t="shared" si="32"/>
        <v>639200</v>
      </c>
      <c r="AY115" s="690">
        <f t="shared" si="32"/>
        <v>54900</v>
      </c>
      <c r="AZ115" s="690">
        <f t="shared" si="32"/>
        <v>54900</v>
      </c>
      <c r="BA115" s="690">
        <f t="shared" si="32"/>
        <v>694100</v>
      </c>
      <c r="BB115" s="695">
        <f t="shared" si="32"/>
        <v>694100</v>
      </c>
    </row>
    <row r="116" spans="1:54" ht="16.5" thickBot="1" x14ac:dyDescent="0.25">
      <c r="A116" s="696"/>
      <c r="B116" s="697" t="s">
        <v>20</v>
      </c>
      <c r="C116" s="698">
        <f t="shared" ref="C116:BB116" si="33">C115-C72</f>
        <v>264.60999999998603</v>
      </c>
      <c r="D116" s="698">
        <f t="shared" si="33"/>
        <v>-8526.1599999999162</v>
      </c>
      <c r="E116" s="698">
        <f t="shared" si="33"/>
        <v>-8526.1600000000326</v>
      </c>
      <c r="F116" s="698">
        <f t="shared" si="33"/>
        <v>0</v>
      </c>
      <c r="G116" s="698">
        <f t="shared" si="33"/>
        <v>518.88000000000466</v>
      </c>
      <c r="H116" s="698">
        <f t="shared" si="33"/>
        <v>518.88000000000466</v>
      </c>
      <c r="I116" s="698">
        <f t="shared" si="33"/>
        <v>0</v>
      </c>
      <c r="J116" s="698">
        <f t="shared" si="33"/>
        <v>0</v>
      </c>
      <c r="K116" s="698">
        <f t="shared" si="33"/>
        <v>-9627.4699999999721</v>
      </c>
      <c r="L116" s="698">
        <f t="shared" si="33"/>
        <v>-9627.4699999999721</v>
      </c>
      <c r="M116" s="698">
        <f t="shared" si="33"/>
        <v>0</v>
      </c>
      <c r="N116" s="698">
        <f t="shared" si="33"/>
        <v>0</v>
      </c>
      <c r="O116" s="698">
        <f t="shared" si="33"/>
        <v>14042.009999999951</v>
      </c>
      <c r="P116" s="698">
        <f t="shared" si="33"/>
        <v>14042.010000000009</v>
      </c>
      <c r="Q116" s="698">
        <f t="shared" si="33"/>
        <v>0</v>
      </c>
      <c r="R116" s="698">
        <f t="shared" si="33"/>
        <v>0</v>
      </c>
      <c r="S116" s="698">
        <f t="shared" si="33"/>
        <v>-858</v>
      </c>
      <c r="T116" s="698">
        <f t="shared" si="33"/>
        <v>-858</v>
      </c>
      <c r="U116" s="698">
        <f t="shared" si="33"/>
        <v>0</v>
      </c>
      <c r="V116" s="698">
        <f t="shared" si="33"/>
        <v>0</v>
      </c>
      <c r="W116" s="698">
        <f t="shared" si="33"/>
        <v>-9844.4399999999441</v>
      </c>
      <c r="X116" s="698">
        <f t="shared" si="33"/>
        <v>-9844.4399999999441</v>
      </c>
      <c r="Y116" s="698">
        <f t="shared" si="33"/>
        <v>0</v>
      </c>
      <c r="Z116" s="698">
        <f t="shared" si="33"/>
        <v>0</v>
      </c>
      <c r="AA116" s="698">
        <f t="shared" si="33"/>
        <v>0</v>
      </c>
      <c r="AB116" s="698">
        <f t="shared" si="33"/>
        <v>0</v>
      </c>
      <c r="AC116" s="698">
        <f t="shared" si="33"/>
        <v>0</v>
      </c>
      <c r="AD116" s="698">
        <f t="shared" si="33"/>
        <v>0</v>
      </c>
      <c r="AE116" s="698">
        <f t="shared" si="33"/>
        <v>-4404.1300000000047</v>
      </c>
      <c r="AF116" s="698">
        <f t="shared" si="33"/>
        <v>-4404.1300000001211</v>
      </c>
      <c r="AG116" s="698">
        <f t="shared" si="33"/>
        <v>-13200</v>
      </c>
      <c r="AH116" s="698">
        <f t="shared" si="33"/>
        <v>-13200</v>
      </c>
      <c r="AI116" s="698">
        <f t="shared" si="33"/>
        <v>6700</v>
      </c>
      <c r="AJ116" s="699">
        <f t="shared" si="33"/>
        <v>6700</v>
      </c>
      <c r="AK116" s="698">
        <f t="shared" si="33"/>
        <v>-6500</v>
      </c>
      <c r="AL116" s="700">
        <f t="shared" si="33"/>
        <v>-6500</v>
      </c>
      <c r="AM116" s="698">
        <f t="shared" si="33"/>
        <v>-1877.3100000000559</v>
      </c>
      <c r="AN116" s="698">
        <f t="shared" si="33"/>
        <v>-1877.1000000000931</v>
      </c>
      <c r="AO116" s="698">
        <f t="shared" si="33"/>
        <v>-30200</v>
      </c>
      <c r="AP116" s="698">
        <f t="shared" si="33"/>
        <v>-30200</v>
      </c>
      <c r="AQ116" s="698">
        <f t="shared" si="33"/>
        <v>30200</v>
      </c>
      <c r="AR116" s="698">
        <f t="shared" si="33"/>
        <v>30200</v>
      </c>
      <c r="AS116" s="698">
        <f t="shared" si="33"/>
        <v>0</v>
      </c>
      <c r="AT116" s="700">
        <f t="shared" si="33"/>
        <v>0</v>
      </c>
      <c r="AU116" s="698">
        <f t="shared" si="33"/>
        <v>5765.1300000000047</v>
      </c>
      <c r="AV116" s="698">
        <f t="shared" si="33"/>
        <v>5765.1299999998882</v>
      </c>
      <c r="AW116" s="698">
        <f t="shared" si="33"/>
        <v>-16000</v>
      </c>
      <c r="AX116" s="698">
        <f t="shared" si="33"/>
        <v>-16000</v>
      </c>
      <c r="AY116" s="698">
        <f t="shared" si="33"/>
        <v>16000</v>
      </c>
      <c r="AZ116" s="698">
        <f t="shared" si="33"/>
        <v>16000</v>
      </c>
      <c r="BA116" s="698">
        <f t="shared" si="33"/>
        <v>0</v>
      </c>
      <c r="BB116" s="700">
        <f t="shared" si="33"/>
        <v>0</v>
      </c>
    </row>
    <row r="117" spans="1:54" x14ac:dyDescent="0.2">
      <c r="AB117" s="703"/>
    </row>
    <row r="118" spans="1:54" ht="12.75" x14ac:dyDescent="0.2">
      <c r="C118" s="245"/>
      <c r="D118" s="245"/>
      <c r="E118" s="245"/>
      <c r="F118" s="245"/>
      <c r="G118" s="245"/>
      <c r="H118" s="245"/>
      <c r="I118" s="245"/>
      <c r="J118" s="245"/>
      <c r="K118" s="245"/>
      <c r="L118" s="245"/>
      <c r="M118" s="245"/>
      <c r="N118" s="245"/>
      <c r="O118" s="245"/>
      <c r="P118" s="245"/>
      <c r="Q118" s="245"/>
      <c r="U118" s="245"/>
      <c r="Y118" s="245"/>
      <c r="AB118" s="245"/>
    </row>
    <row r="119" spans="1:54" x14ac:dyDescent="0.2">
      <c r="AB119" s="703"/>
    </row>
    <row r="120" spans="1:54" x14ac:dyDescent="0.2">
      <c r="U120" s="245"/>
      <c r="Y120" s="245"/>
      <c r="AB120" s="703"/>
    </row>
    <row r="121" spans="1:54" x14ac:dyDescent="0.2">
      <c r="U121" s="245"/>
      <c r="Y121" s="245"/>
      <c r="AB121" s="703"/>
    </row>
    <row r="122" spans="1:54" x14ac:dyDescent="0.2">
      <c r="U122" s="245"/>
      <c r="Y122" s="245"/>
    </row>
    <row r="123" spans="1:54" x14ac:dyDescent="0.2">
      <c r="U123" s="245"/>
      <c r="Y123" s="245"/>
    </row>
    <row r="124" spans="1:54" x14ac:dyDescent="0.2">
      <c r="U124" s="245"/>
      <c r="Y124" s="245"/>
    </row>
    <row r="125" spans="1:54" x14ac:dyDescent="0.2">
      <c r="U125" s="245"/>
      <c r="Y125" s="245"/>
    </row>
    <row r="126" spans="1:54" x14ac:dyDescent="0.2">
      <c r="U126" s="245"/>
      <c r="Y126" s="245"/>
    </row>
    <row r="127" spans="1:54" x14ac:dyDescent="0.2">
      <c r="U127" s="245"/>
      <c r="Y127" s="245"/>
    </row>
    <row r="128" spans="1:54" x14ac:dyDescent="0.2">
      <c r="U128" s="245"/>
      <c r="Y128" s="245"/>
    </row>
    <row r="129" spans="10:28" x14ac:dyDescent="0.2">
      <c r="U129" s="245"/>
      <c r="Y129" s="245"/>
    </row>
    <row r="130" spans="10:28" x14ac:dyDescent="0.2">
      <c r="U130" s="245"/>
      <c r="Y130" s="245"/>
    </row>
    <row r="131" spans="10:28" x14ac:dyDescent="0.2">
      <c r="U131" s="245"/>
      <c r="Y131" s="245"/>
    </row>
    <row r="132" spans="10:28" x14ac:dyDescent="0.2">
      <c r="U132" s="245"/>
      <c r="Y132" s="245"/>
    </row>
    <row r="133" spans="10:28" x14ac:dyDescent="0.2">
      <c r="J133" s="705"/>
      <c r="K133" s="705"/>
      <c r="L133" s="705"/>
      <c r="M133" s="705"/>
      <c r="N133" s="705"/>
      <c r="O133" s="705"/>
      <c r="P133" s="705"/>
      <c r="Q133" s="705"/>
      <c r="R133" s="705"/>
      <c r="S133" s="705"/>
      <c r="T133" s="705"/>
      <c r="U133" s="705"/>
      <c r="V133" s="705"/>
      <c r="W133" s="705"/>
      <c r="X133" s="705"/>
      <c r="Y133" s="705"/>
      <c r="Z133" s="705"/>
      <c r="AA133" s="705"/>
      <c r="AB133" s="705"/>
    </row>
    <row r="134" spans="10:28" x14ac:dyDescent="0.2">
      <c r="J134" s="705"/>
      <c r="K134" s="705"/>
      <c r="L134" s="705"/>
      <c r="M134" s="705"/>
      <c r="N134" s="705"/>
      <c r="O134" s="705"/>
      <c r="P134" s="705"/>
      <c r="Q134" s="705"/>
      <c r="R134" s="705"/>
      <c r="S134" s="705"/>
      <c r="T134" s="705"/>
      <c r="U134" s="705"/>
      <c r="V134" s="705"/>
      <c r="W134" s="705"/>
      <c r="X134" s="705"/>
      <c r="Y134" s="705"/>
      <c r="Z134" s="705"/>
      <c r="AA134" s="705"/>
      <c r="AB134" s="705"/>
    </row>
    <row r="135" spans="10:28" x14ac:dyDescent="0.2">
      <c r="J135" s="705"/>
      <c r="K135" s="705"/>
      <c r="L135" s="705"/>
      <c r="M135" s="705"/>
      <c r="N135" s="705"/>
      <c r="O135" s="705"/>
      <c r="P135" s="705"/>
      <c r="Q135" s="705"/>
      <c r="R135" s="705"/>
      <c r="S135" s="705"/>
      <c r="T135" s="705"/>
      <c r="U135" s="705"/>
      <c r="V135" s="705"/>
      <c r="W135" s="705"/>
      <c r="X135" s="705"/>
      <c r="Y135" s="705"/>
      <c r="Z135" s="705"/>
      <c r="AA135" s="705"/>
      <c r="AB135" s="705"/>
    </row>
    <row r="136" spans="10:28" x14ac:dyDescent="0.2">
      <c r="J136" s="705"/>
      <c r="K136" s="705"/>
      <c r="L136" s="705"/>
      <c r="M136" s="705"/>
      <c r="N136" s="705"/>
      <c r="O136" s="705"/>
      <c r="P136" s="705"/>
      <c r="Q136" s="705"/>
      <c r="R136" s="705"/>
      <c r="S136" s="705"/>
      <c r="T136" s="705"/>
      <c r="U136" s="705"/>
      <c r="V136" s="705"/>
      <c r="W136" s="705"/>
      <c r="X136" s="705"/>
      <c r="Y136" s="705"/>
      <c r="Z136" s="705"/>
      <c r="AA136" s="705"/>
      <c r="AB136" s="705"/>
    </row>
    <row r="137" spans="10:28" x14ac:dyDescent="0.2">
      <c r="U137" s="245"/>
      <c r="Y137" s="245"/>
    </row>
    <row r="138" spans="10:28" x14ac:dyDescent="0.2">
      <c r="U138" s="245"/>
      <c r="Y138" s="245"/>
    </row>
    <row r="139" spans="10:28" x14ac:dyDescent="0.2">
      <c r="U139" s="245"/>
      <c r="Y139" s="245"/>
    </row>
  </sheetData>
  <mergeCells count="3">
    <mergeCell ref="A1:BB1"/>
    <mergeCell ref="B2:B3"/>
    <mergeCell ref="B74:B75"/>
  </mergeCells>
  <printOptions horizontalCentered="1" verticalCentered="1"/>
  <pageMargins left="0" right="0" top="0" bottom="0" header="0.31496062992125984" footer="0.31496062992125984"/>
  <pageSetup paperSize="8" scale="61" fitToWidth="0" orientation="portrait" r:id="rId1"/>
  <headerFooter>
    <oddHeader>&amp;L&amp;D   &amp;T&amp;C&amp;Z&amp;F</oddHeader>
  </headerFooter>
  <rowBreaks count="1" manualBreakCount="1">
    <brk id="73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C7884A-F6C7-43ED-B9DB-4F77324E7B5F}">
  <sheetPr>
    <pageSetUpPr fitToPage="1"/>
  </sheetPr>
  <dimension ref="A1:AM80"/>
  <sheetViews>
    <sheetView zoomScale="120" zoomScaleNormal="120" workbookViewId="0">
      <pane xSplit="1" ySplit="1" topLeftCell="W24" activePane="bottomRight" state="frozen"/>
      <selection pane="topRight" activeCell="B1" sqref="B1"/>
      <selection pane="bottomLeft" activeCell="A2" sqref="A2"/>
      <selection pane="bottomRight" activeCell="AO47" sqref="AO47"/>
    </sheetView>
  </sheetViews>
  <sheetFormatPr baseColWidth="10" defaultRowHeight="15" x14ac:dyDescent="0.25"/>
  <cols>
    <col min="1" max="1" width="58.5" style="38" bestFit="1" customWidth="1"/>
    <col min="2" max="22" width="11.83203125" style="38" customWidth="1"/>
    <col min="23" max="23" width="11.6640625" style="38" customWidth="1"/>
    <col min="24" max="24" width="8.6640625" style="38" bestFit="1" customWidth="1"/>
    <col min="25" max="25" width="9.33203125" style="38" bestFit="1" customWidth="1"/>
    <col min="26" max="26" width="9.1640625" style="38" customWidth="1"/>
    <col min="27" max="27" width="9.83203125" style="38" bestFit="1" customWidth="1"/>
    <col min="28" max="28" width="10.6640625" style="38" customWidth="1"/>
    <col min="29" max="34" width="12" style="38"/>
    <col min="35" max="35" width="11.33203125" style="38" customWidth="1"/>
    <col min="36" max="36" width="8.6640625" style="38" bestFit="1" customWidth="1"/>
    <col min="37" max="37" width="9.33203125" style="38" bestFit="1" customWidth="1"/>
    <col min="38" max="38" width="9.1640625" style="38" customWidth="1"/>
    <col min="39" max="39" width="9.83203125" style="38" bestFit="1" customWidth="1"/>
    <col min="40" max="16384" width="12" style="38"/>
  </cols>
  <sheetData>
    <row r="1" spans="1:39" ht="16.5" thickBot="1" x14ac:dyDescent="0.3">
      <c r="A1" s="33" t="s">
        <v>47</v>
      </c>
      <c r="B1" s="34">
        <v>45261</v>
      </c>
      <c r="C1" s="35">
        <v>45292</v>
      </c>
      <c r="D1" s="35">
        <v>45323</v>
      </c>
      <c r="E1" s="35">
        <v>45352</v>
      </c>
      <c r="F1" s="35">
        <v>45383</v>
      </c>
      <c r="G1" s="35">
        <v>45413</v>
      </c>
      <c r="H1" s="35">
        <v>45444</v>
      </c>
      <c r="I1" s="35">
        <v>45474</v>
      </c>
      <c r="J1" s="36">
        <v>45505</v>
      </c>
      <c r="K1" s="36">
        <v>45536</v>
      </c>
      <c r="L1" s="36">
        <v>45566</v>
      </c>
      <c r="M1" s="36">
        <v>45597</v>
      </c>
      <c r="N1" s="36">
        <v>45627</v>
      </c>
      <c r="O1" s="37">
        <v>45658</v>
      </c>
      <c r="P1" s="35">
        <v>45689</v>
      </c>
      <c r="Q1" s="36">
        <v>45717</v>
      </c>
      <c r="R1" s="35">
        <v>45748</v>
      </c>
      <c r="S1" s="36">
        <v>45778</v>
      </c>
      <c r="T1" s="35">
        <v>45809</v>
      </c>
      <c r="U1" s="34">
        <v>45839</v>
      </c>
      <c r="V1" s="35">
        <v>45870</v>
      </c>
      <c r="W1" s="36">
        <v>45901</v>
      </c>
      <c r="X1" s="35">
        <v>45931</v>
      </c>
      <c r="Y1" s="36">
        <v>45962</v>
      </c>
      <c r="Z1" s="35">
        <v>45992</v>
      </c>
      <c r="AA1" s="37">
        <v>46023</v>
      </c>
      <c r="AB1" s="35">
        <v>46054</v>
      </c>
      <c r="AC1" s="37">
        <v>46082</v>
      </c>
      <c r="AD1" s="35">
        <v>46113</v>
      </c>
      <c r="AE1" s="37">
        <v>46143</v>
      </c>
      <c r="AF1" s="35">
        <v>46174</v>
      </c>
      <c r="AG1" s="37">
        <v>46204</v>
      </c>
      <c r="AH1" s="36">
        <v>46235</v>
      </c>
      <c r="AI1" s="37">
        <v>46266</v>
      </c>
      <c r="AJ1" s="36">
        <v>46296</v>
      </c>
      <c r="AK1" s="37">
        <v>46327</v>
      </c>
      <c r="AL1" s="36">
        <v>46357</v>
      </c>
      <c r="AM1" s="37">
        <v>46388</v>
      </c>
    </row>
    <row r="2" spans="1:39" x14ac:dyDescent="0.25">
      <c r="A2" s="39" t="s">
        <v>48</v>
      </c>
      <c r="B2" s="40"/>
      <c r="C2" s="41">
        <v>54000</v>
      </c>
      <c r="D2" s="42"/>
      <c r="E2" s="43"/>
      <c r="F2" s="43"/>
      <c r="G2" s="42"/>
      <c r="H2" s="44">
        <v>10000</v>
      </c>
      <c r="I2" s="44"/>
      <c r="J2" s="43"/>
      <c r="K2" s="43"/>
      <c r="L2" s="43"/>
      <c r="M2" s="43"/>
      <c r="N2" s="45"/>
      <c r="O2" s="46">
        <v>64000</v>
      </c>
      <c r="P2" s="42"/>
      <c r="Q2" s="43"/>
      <c r="R2" s="43"/>
      <c r="T2" s="44"/>
      <c r="U2" s="200"/>
      <c r="V2" s="208"/>
      <c r="W2" s="43"/>
      <c r="X2" s="43"/>
      <c r="Y2" s="43"/>
      <c r="Z2" s="43"/>
      <c r="AA2" s="210"/>
      <c r="AC2" s="239">
        <v>64000</v>
      </c>
      <c r="AD2" s="43"/>
      <c r="AF2" s="44"/>
      <c r="AG2" s="44"/>
      <c r="AH2" s="225"/>
      <c r="AI2" s="43"/>
      <c r="AJ2" s="43"/>
      <c r="AK2" s="43"/>
      <c r="AL2" s="43"/>
      <c r="AM2" s="210"/>
    </row>
    <row r="3" spans="1:39" ht="15.75" thickBot="1" x14ac:dyDescent="0.3">
      <c r="A3" s="193" t="s">
        <v>99</v>
      </c>
      <c r="B3" s="48"/>
      <c r="C3" s="49"/>
      <c r="D3" s="50"/>
      <c r="E3" s="50"/>
      <c r="F3" s="51"/>
      <c r="G3" s="50"/>
      <c r="H3" s="51"/>
      <c r="I3" s="51">
        <v>9000</v>
      </c>
      <c r="J3" s="50"/>
      <c r="K3" s="50"/>
      <c r="L3" s="50"/>
      <c r="M3" s="50"/>
      <c r="N3" s="52"/>
      <c r="O3" s="53"/>
      <c r="P3" s="53"/>
      <c r="Q3" s="50"/>
      <c r="R3" s="51"/>
      <c r="S3" s="50"/>
      <c r="T3" s="51"/>
      <c r="U3" s="201">
        <v>12000</v>
      </c>
      <c r="V3" s="209"/>
      <c r="W3" s="50"/>
      <c r="X3" s="50"/>
      <c r="Y3" s="50"/>
      <c r="Z3" s="50"/>
      <c r="AA3" s="210"/>
      <c r="AB3" s="209"/>
      <c r="AC3" s="50"/>
      <c r="AD3" s="51"/>
      <c r="AE3" s="50"/>
      <c r="AF3" s="51"/>
      <c r="AG3" s="237">
        <v>12000</v>
      </c>
      <c r="AH3" s="52"/>
      <c r="AI3" s="50"/>
      <c r="AJ3" s="50"/>
      <c r="AK3" s="50"/>
      <c r="AL3" s="50"/>
      <c r="AM3" s="210"/>
    </row>
    <row r="4" spans="1:39" x14ac:dyDescent="0.25">
      <c r="A4" s="191" t="s">
        <v>98</v>
      </c>
      <c r="B4" s="60"/>
      <c r="C4" s="41"/>
      <c r="D4" s="44"/>
      <c r="E4" s="44"/>
      <c r="F4" s="44"/>
      <c r="G4" s="44"/>
      <c r="H4" s="44"/>
      <c r="I4" s="44"/>
      <c r="J4" s="44"/>
      <c r="K4" s="44"/>
      <c r="L4" s="44"/>
      <c r="M4" s="44"/>
      <c r="N4" s="45"/>
      <c r="O4" s="61">
        <v>1200</v>
      </c>
      <c r="P4" s="61">
        <v>1200</v>
      </c>
      <c r="Q4" s="61">
        <v>1200</v>
      </c>
      <c r="R4" s="61">
        <v>1200</v>
      </c>
      <c r="S4" s="61">
        <v>1200</v>
      </c>
      <c r="T4" s="61">
        <v>1200</v>
      </c>
      <c r="U4" s="202">
        <v>1200</v>
      </c>
      <c r="V4" s="41">
        <v>1200</v>
      </c>
      <c r="W4" s="46">
        <v>1400</v>
      </c>
      <c r="X4" s="46">
        <v>1400</v>
      </c>
      <c r="Y4" s="46">
        <v>1400</v>
      </c>
      <c r="Z4" s="46">
        <v>1400</v>
      </c>
      <c r="AA4" s="66">
        <v>1400</v>
      </c>
      <c r="AB4" s="41">
        <v>1400</v>
      </c>
      <c r="AC4" s="46">
        <v>1400</v>
      </c>
      <c r="AD4" s="46">
        <v>1400</v>
      </c>
      <c r="AE4" s="46">
        <v>1400</v>
      </c>
      <c r="AF4" s="46">
        <v>1400</v>
      </c>
      <c r="AG4" s="46">
        <v>1400</v>
      </c>
      <c r="AH4" s="66">
        <v>1400</v>
      </c>
      <c r="AI4" s="46">
        <v>1400</v>
      </c>
      <c r="AJ4" s="46">
        <v>1400</v>
      </c>
      <c r="AK4" s="46">
        <v>1400</v>
      </c>
      <c r="AL4" s="46">
        <v>1400</v>
      </c>
      <c r="AM4" s="66">
        <v>1400</v>
      </c>
    </row>
    <row r="5" spans="1:39" x14ac:dyDescent="0.25">
      <c r="A5" s="62" t="s">
        <v>49</v>
      </c>
      <c r="B5" s="63"/>
      <c r="C5" s="49"/>
      <c r="D5" s="51"/>
      <c r="E5" s="51"/>
      <c r="F5" s="51"/>
      <c r="G5" s="51"/>
      <c r="H5" s="51"/>
      <c r="I5" s="51"/>
      <c r="J5" s="51"/>
      <c r="K5" s="51"/>
      <c r="L5" s="51"/>
      <c r="M5" s="51"/>
      <c r="N5" s="64"/>
      <c r="O5" s="65"/>
      <c r="P5" s="65"/>
      <c r="Q5" s="51"/>
      <c r="R5" s="51"/>
      <c r="S5" s="51"/>
      <c r="T5" s="51"/>
      <c r="U5" s="90"/>
      <c r="V5" s="49"/>
      <c r="W5" s="195">
        <v>9000</v>
      </c>
      <c r="X5" s="195"/>
      <c r="Y5" s="51"/>
      <c r="Z5" s="51"/>
      <c r="AA5" s="211"/>
      <c r="AB5" s="49"/>
      <c r="AC5" s="51"/>
      <c r="AD5" s="51"/>
      <c r="AE5" s="51"/>
      <c r="AG5" s="51"/>
      <c r="AH5" s="64"/>
      <c r="AI5" s="237">
        <v>6500</v>
      </c>
      <c r="AJ5" s="195"/>
      <c r="AK5" s="51"/>
      <c r="AL5" s="51"/>
      <c r="AM5" s="211"/>
    </row>
    <row r="6" spans="1:39" ht="15.75" thickBot="1" x14ac:dyDescent="0.3">
      <c r="A6" s="54" t="s">
        <v>50</v>
      </c>
      <c r="B6" s="55"/>
      <c r="C6" s="56"/>
      <c r="D6" s="57"/>
      <c r="E6" s="57"/>
      <c r="F6" s="57"/>
      <c r="G6" s="57"/>
      <c r="H6" s="57"/>
      <c r="I6" s="57"/>
      <c r="J6" s="57"/>
      <c r="K6" s="57"/>
      <c r="L6" s="57"/>
      <c r="M6" s="57"/>
      <c r="N6" s="58"/>
      <c r="O6" s="59"/>
      <c r="P6" s="59"/>
      <c r="Q6" s="57"/>
      <c r="R6" s="112"/>
      <c r="S6" s="57">
        <v>4000</v>
      </c>
      <c r="T6" s="57"/>
      <c r="U6" s="94"/>
      <c r="V6" s="126"/>
      <c r="W6" s="196"/>
      <c r="X6" s="196">
        <v>5800</v>
      </c>
      <c r="Y6" s="57"/>
      <c r="Z6" s="57"/>
      <c r="AA6" s="212"/>
      <c r="AB6" s="56"/>
      <c r="AC6" s="57"/>
      <c r="AD6" s="236">
        <v>4000</v>
      </c>
      <c r="AE6" s="57"/>
      <c r="AF6" s="192"/>
      <c r="AG6" s="238">
        <v>3000</v>
      </c>
      <c r="AH6" s="84"/>
      <c r="AI6" s="196"/>
      <c r="AJ6" s="196"/>
      <c r="AK6" s="57"/>
      <c r="AL6" s="57"/>
      <c r="AM6" s="212"/>
    </row>
    <row r="7" spans="1:39" x14ac:dyDescent="0.25">
      <c r="A7" s="47" t="s">
        <v>51</v>
      </c>
      <c r="B7" s="86"/>
      <c r="C7" s="87"/>
      <c r="D7" s="88"/>
      <c r="E7" s="88"/>
      <c r="F7" s="88">
        <v>2000</v>
      </c>
      <c r="G7" s="88">
        <v>1000</v>
      </c>
      <c r="H7" s="88">
        <v>500</v>
      </c>
      <c r="I7" s="88">
        <v>500</v>
      </c>
      <c r="J7" s="88"/>
      <c r="K7" s="88">
        <v>500</v>
      </c>
      <c r="L7" s="88">
        <v>500</v>
      </c>
      <c r="M7" s="88">
        <v>500</v>
      </c>
      <c r="N7" s="106">
        <v>500</v>
      </c>
      <c r="O7" s="105">
        <v>2000</v>
      </c>
      <c r="P7" s="105">
        <v>2000</v>
      </c>
      <c r="Q7" s="88">
        <v>3000</v>
      </c>
      <c r="R7" s="88"/>
      <c r="S7" s="88">
        <v>500</v>
      </c>
      <c r="T7" s="88">
        <v>200</v>
      </c>
      <c r="U7" s="89"/>
      <c r="V7" s="87">
        <v>500</v>
      </c>
      <c r="W7" s="88"/>
      <c r="X7" s="88">
        <v>500</v>
      </c>
      <c r="Y7" s="88"/>
      <c r="Z7" s="105">
        <v>2500</v>
      </c>
      <c r="AA7" s="213"/>
      <c r="AB7" s="87"/>
      <c r="AC7" s="88"/>
      <c r="AD7" s="88"/>
      <c r="AE7" s="88">
        <v>500</v>
      </c>
      <c r="AF7" s="88">
        <v>200</v>
      </c>
      <c r="AG7" s="88"/>
      <c r="AH7" s="106"/>
      <c r="AI7" s="88"/>
      <c r="AJ7" s="88">
        <v>500</v>
      </c>
      <c r="AK7" s="88"/>
      <c r="AL7" s="105">
        <v>2500</v>
      </c>
      <c r="AM7" s="213"/>
    </row>
    <row r="8" spans="1:39" ht="15.75" thickBot="1" x14ac:dyDescent="0.3">
      <c r="A8" s="54" t="s">
        <v>52</v>
      </c>
      <c r="B8" s="55"/>
      <c r="C8" s="56"/>
      <c r="D8" s="57">
        <v>1500</v>
      </c>
      <c r="E8" s="57"/>
      <c r="F8" s="57"/>
      <c r="G8" s="57"/>
      <c r="H8" s="57">
        <v>1200</v>
      </c>
      <c r="I8" s="57">
        <v>800</v>
      </c>
      <c r="J8" s="57"/>
      <c r="K8" s="57"/>
      <c r="L8" s="57"/>
      <c r="M8" s="57">
        <v>600</v>
      </c>
      <c r="N8" s="58"/>
      <c r="O8" s="59"/>
      <c r="P8" s="59">
        <v>1000</v>
      </c>
      <c r="Q8" s="57"/>
      <c r="R8" s="57"/>
      <c r="S8" s="57"/>
      <c r="T8" s="57">
        <v>1200</v>
      </c>
      <c r="U8" s="94">
        <v>800</v>
      </c>
      <c r="V8" s="56"/>
      <c r="W8" s="57"/>
      <c r="X8" s="57">
        <v>750</v>
      </c>
      <c r="Y8" s="57">
        <v>1500</v>
      </c>
      <c r="Z8" s="57"/>
      <c r="AA8" s="212"/>
      <c r="AB8" s="56">
        <v>1000</v>
      </c>
      <c r="AC8" s="57"/>
      <c r="AD8" s="57"/>
      <c r="AE8" s="57"/>
      <c r="AF8" s="57">
        <v>1200</v>
      </c>
      <c r="AG8" s="57">
        <v>800</v>
      </c>
      <c r="AH8" s="58"/>
      <c r="AI8" s="57"/>
      <c r="AJ8" s="57">
        <v>750</v>
      </c>
      <c r="AK8" s="57">
        <v>1500</v>
      </c>
      <c r="AL8" s="57"/>
      <c r="AM8" s="212"/>
    </row>
    <row r="9" spans="1:39" x14ac:dyDescent="0.25">
      <c r="A9" s="39" t="s">
        <v>53</v>
      </c>
      <c r="B9" s="60"/>
      <c r="C9" s="41"/>
      <c r="D9" s="44"/>
      <c r="E9" s="44"/>
      <c r="F9" s="44"/>
      <c r="G9" s="44"/>
      <c r="H9" s="44"/>
      <c r="I9" s="44"/>
      <c r="J9" s="44"/>
      <c r="K9" s="44"/>
      <c r="L9" s="44">
        <v>500</v>
      </c>
      <c r="M9" s="44">
        <v>7000</v>
      </c>
      <c r="N9" s="45">
        <v>500</v>
      </c>
      <c r="O9" s="46"/>
      <c r="P9" s="46"/>
      <c r="Q9" s="44"/>
      <c r="R9" s="44"/>
      <c r="S9" s="44"/>
      <c r="T9" s="44"/>
      <c r="U9" s="200"/>
      <c r="V9" s="41"/>
      <c r="W9" s="44">
        <v>500</v>
      </c>
      <c r="X9" s="44">
        <v>3500</v>
      </c>
      <c r="Y9" s="44">
        <v>7000</v>
      </c>
      <c r="Z9" s="44"/>
      <c r="AA9" s="66"/>
      <c r="AB9" s="41"/>
      <c r="AC9" s="44"/>
      <c r="AD9" s="44"/>
      <c r="AE9" s="44"/>
      <c r="AF9" s="44"/>
      <c r="AG9" s="44"/>
      <c r="AH9" s="45"/>
      <c r="AI9" s="44">
        <v>500</v>
      </c>
      <c r="AJ9" s="44">
        <v>3500</v>
      </c>
      <c r="AK9" s="44">
        <v>7000</v>
      </c>
      <c r="AL9" s="44"/>
      <c r="AM9" s="66"/>
    </row>
    <row r="10" spans="1:39" ht="15.75" thickBot="1" x14ac:dyDescent="0.3">
      <c r="A10" s="243" t="s">
        <v>103</v>
      </c>
      <c r="B10" s="55"/>
      <c r="C10" s="56"/>
      <c r="D10" s="57"/>
      <c r="E10" s="57"/>
      <c r="F10" s="57"/>
      <c r="G10" s="57">
        <v>1000</v>
      </c>
      <c r="H10" s="57">
        <v>3000</v>
      </c>
      <c r="I10" s="57">
        <v>10000</v>
      </c>
      <c r="J10" s="57">
        <v>5000</v>
      </c>
      <c r="K10" s="57">
        <v>1000</v>
      </c>
      <c r="L10" s="57"/>
      <c r="M10" s="57"/>
      <c r="N10" s="58"/>
      <c r="O10" s="59"/>
      <c r="P10" s="59"/>
      <c r="Q10" s="57"/>
      <c r="R10" s="57"/>
      <c r="S10" s="57">
        <v>1000</v>
      </c>
      <c r="T10" s="57">
        <v>3000</v>
      </c>
      <c r="U10" s="94">
        <v>11000</v>
      </c>
      <c r="V10" s="56">
        <v>5000</v>
      </c>
      <c r="W10" s="57">
        <v>2000</v>
      </c>
      <c r="X10" s="57">
        <v>600</v>
      </c>
      <c r="Y10" s="57"/>
      <c r="Z10" s="57"/>
      <c r="AA10" s="212"/>
      <c r="AB10" s="56">
        <v>600</v>
      </c>
      <c r="AC10" s="57"/>
      <c r="AD10" s="57">
        <v>600</v>
      </c>
      <c r="AE10" s="57">
        <v>1000</v>
      </c>
      <c r="AF10" s="57">
        <v>5000</v>
      </c>
      <c r="AG10" s="57">
        <v>11000</v>
      </c>
      <c r="AH10" s="58">
        <v>5000</v>
      </c>
      <c r="AI10" s="57">
        <v>2000</v>
      </c>
      <c r="AJ10" s="57"/>
      <c r="AK10" s="57"/>
      <c r="AL10" s="57"/>
      <c r="AM10" s="212"/>
    </row>
    <row r="11" spans="1:39" ht="15.75" thickBot="1" x14ac:dyDescent="0.3">
      <c r="A11" s="67" t="s">
        <v>54</v>
      </c>
      <c r="B11" s="68"/>
      <c r="C11" s="69"/>
      <c r="D11" s="70"/>
      <c r="E11" s="70"/>
      <c r="F11" s="70"/>
      <c r="G11" s="71"/>
      <c r="H11" s="72"/>
      <c r="I11" s="70"/>
      <c r="J11" s="70"/>
      <c r="K11" s="70"/>
      <c r="L11" s="73"/>
      <c r="M11" s="70"/>
      <c r="N11" s="74"/>
      <c r="O11" s="72"/>
      <c r="P11" s="72">
        <v>2000</v>
      </c>
      <c r="Q11" s="70">
        <v>1000</v>
      </c>
      <c r="R11" s="70"/>
      <c r="S11" s="70"/>
      <c r="T11" s="70"/>
      <c r="U11" s="71"/>
      <c r="V11" s="69"/>
      <c r="W11" s="70"/>
      <c r="X11" s="232"/>
      <c r="Y11" s="72">
        <v>2000</v>
      </c>
      <c r="Z11" s="70">
        <v>1000</v>
      </c>
      <c r="AA11" s="214"/>
      <c r="AB11" s="241"/>
      <c r="AD11" s="70"/>
      <c r="AE11" s="70"/>
      <c r="AF11" s="70"/>
      <c r="AG11" s="70"/>
      <c r="AH11" s="74"/>
      <c r="AI11" s="242"/>
      <c r="AJ11" s="72">
        <v>2000</v>
      </c>
      <c r="AK11" s="70">
        <v>1000</v>
      </c>
      <c r="AL11" s="70"/>
      <c r="AM11" s="214"/>
    </row>
    <row r="12" spans="1:39" x14ac:dyDescent="0.25">
      <c r="A12" s="39" t="s">
        <v>55</v>
      </c>
      <c r="B12" s="60"/>
      <c r="C12" s="41"/>
      <c r="D12" s="44"/>
      <c r="E12" s="44"/>
      <c r="F12" s="44"/>
      <c r="G12" s="44"/>
      <c r="H12" s="46"/>
      <c r="I12" s="44"/>
      <c r="J12" s="44">
        <v>4000</v>
      </c>
      <c r="K12" s="44"/>
      <c r="L12" s="42"/>
      <c r="M12" s="44"/>
      <c r="N12" s="45"/>
      <c r="O12" s="46"/>
      <c r="P12" s="46"/>
      <c r="Q12" s="44"/>
      <c r="R12" s="44"/>
      <c r="S12" s="44"/>
      <c r="T12" s="44"/>
      <c r="U12" s="200"/>
      <c r="V12" s="41"/>
      <c r="W12" s="44"/>
      <c r="X12" s="44"/>
      <c r="Y12" s="44">
        <v>7000</v>
      </c>
      <c r="Z12" s="44"/>
      <c r="AA12" s="66"/>
      <c r="AB12" s="41"/>
      <c r="AC12" s="44"/>
      <c r="AD12" s="44"/>
      <c r="AE12" s="44"/>
      <c r="AF12" s="44"/>
      <c r="AG12" s="44"/>
      <c r="AH12" s="45"/>
      <c r="AI12" s="44"/>
      <c r="AJ12" s="44"/>
      <c r="AK12" s="44">
        <v>7000</v>
      </c>
      <c r="AL12" s="44"/>
      <c r="AM12" s="66"/>
    </row>
    <row r="13" spans="1:39" x14ac:dyDescent="0.25">
      <c r="A13" s="75" t="s">
        <v>56</v>
      </c>
      <c r="B13" s="76"/>
      <c r="C13" s="77"/>
      <c r="D13" s="78"/>
      <c r="E13" s="78"/>
      <c r="F13" s="78"/>
      <c r="G13" s="78"/>
      <c r="H13" s="79"/>
      <c r="I13" s="78">
        <v>17700</v>
      </c>
      <c r="J13" s="78"/>
      <c r="L13" s="78"/>
      <c r="M13" s="78"/>
      <c r="N13" s="80"/>
      <c r="O13" s="79"/>
      <c r="P13" s="79"/>
      <c r="Q13" s="78"/>
      <c r="R13" s="78"/>
      <c r="S13" s="78"/>
      <c r="T13" s="78"/>
      <c r="V13" s="203">
        <v>6900</v>
      </c>
      <c r="W13" s="231"/>
      <c r="X13" s="78"/>
      <c r="Y13" s="78"/>
      <c r="Z13" s="78"/>
      <c r="AA13" s="216"/>
      <c r="AB13" s="77"/>
      <c r="AC13" s="78"/>
      <c r="AD13" s="78"/>
      <c r="AE13" s="78"/>
      <c r="AF13" s="78"/>
      <c r="AG13" s="194">
        <v>7500</v>
      </c>
      <c r="AH13" s="229"/>
      <c r="AJ13" s="78"/>
      <c r="AK13" s="78"/>
      <c r="AL13" s="78"/>
      <c r="AM13" s="216"/>
    </row>
    <row r="14" spans="1:39" x14ac:dyDescent="0.25">
      <c r="A14" s="62" t="s">
        <v>57</v>
      </c>
      <c r="B14" s="63"/>
      <c r="C14" s="49"/>
      <c r="D14" s="51"/>
      <c r="E14" s="51"/>
      <c r="F14" s="81"/>
      <c r="G14" s="51">
        <v>14500</v>
      </c>
      <c r="H14" s="65"/>
      <c r="I14" s="51"/>
      <c r="J14" s="51"/>
      <c r="K14" s="51">
        <v>6500</v>
      </c>
      <c r="L14" s="51"/>
      <c r="M14" s="81">
        <v>3120</v>
      </c>
      <c r="N14" s="64"/>
      <c r="O14" s="82">
        <v>14500</v>
      </c>
      <c r="P14" s="65"/>
      <c r="Q14" s="51"/>
      <c r="R14" s="81"/>
      <c r="S14" s="51"/>
      <c r="T14" s="51"/>
      <c r="U14" s="204"/>
      <c r="V14" s="217"/>
      <c r="W14" s="51">
        <v>6700</v>
      </c>
      <c r="X14" s="51"/>
      <c r="Y14" s="51">
        <v>17000</v>
      </c>
      <c r="Z14" s="78"/>
      <c r="AA14" s="218"/>
      <c r="AB14" s="49"/>
      <c r="AC14" s="51"/>
      <c r="AD14" s="81"/>
      <c r="AE14" s="51"/>
      <c r="AF14" s="51"/>
      <c r="AG14" s="195"/>
      <c r="AH14" s="230"/>
      <c r="AI14" s="51">
        <v>7300</v>
      </c>
      <c r="AJ14" s="51"/>
      <c r="AK14" s="51">
        <v>17000</v>
      </c>
      <c r="AL14" s="78"/>
      <c r="AM14" s="218"/>
    </row>
    <row r="15" spans="1:39" x14ac:dyDescent="0.25">
      <c r="A15" s="62" t="s">
        <v>58</v>
      </c>
      <c r="B15" s="63"/>
      <c r="C15" s="49"/>
      <c r="D15" s="51"/>
      <c r="E15" s="51"/>
      <c r="F15" s="51"/>
      <c r="G15" s="51"/>
      <c r="H15" s="65"/>
      <c r="I15" s="51"/>
      <c r="J15" s="51">
        <v>20000</v>
      </c>
      <c r="K15" s="51"/>
      <c r="L15" s="51"/>
      <c r="M15" s="51">
        <v>4500</v>
      </c>
      <c r="N15" s="64"/>
      <c r="O15" s="65"/>
      <c r="P15" s="65"/>
      <c r="Q15" s="51"/>
      <c r="R15" s="51"/>
      <c r="S15" s="51"/>
      <c r="T15" s="51"/>
      <c r="U15" s="204"/>
      <c r="V15" s="217">
        <v>8000</v>
      </c>
      <c r="W15" s="51"/>
      <c r="X15" s="51"/>
      <c r="Y15" s="51"/>
      <c r="Z15" s="51"/>
      <c r="AA15" s="211"/>
      <c r="AB15" s="49"/>
      <c r="AC15" s="51"/>
      <c r="AD15" s="51"/>
      <c r="AE15" s="51"/>
      <c r="AF15" s="51"/>
      <c r="AG15" s="195"/>
      <c r="AH15" s="230">
        <v>8000</v>
      </c>
      <c r="AI15" s="51"/>
      <c r="AJ15" s="51"/>
      <c r="AK15" s="51"/>
      <c r="AL15" s="51"/>
      <c r="AM15" s="211"/>
    </row>
    <row r="16" spans="1:39" ht="15.75" thickBot="1" x14ac:dyDescent="0.3">
      <c r="A16" s="54" t="s">
        <v>59</v>
      </c>
      <c r="B16" s="55"/>
      <c r="C16" s="56"/>
      <c r="D16" s="57"/>
      <c r="E16" s="57"/>
      <c r="F16" s="57"/>
      <c r="G16" s="57"/>
      <c r="H16" s="59"/>
      <c r="I16" s="83">
        <v>8500</v>
      </c>
      <c r="J16" s="57"/>
      <c r="K16" s="57"/>
      <c r="L16" s="57"/>
      <c r="M16" s="57"/>
      <c r="N16" s="84"/>
      <c r="O16" s="85">
        <v>6500</v>
      </c>
      <c r="P16" s="79"/>
      <c r="Q16" s="78"/>
      <c r="R16" s="78"/>
      <c r="S16" s="78"/>
      <c r="T16" s="78"/>
      <c r="U16" s="38">
        <v>6500</v>
      </c>
      <c r="V16" s="77"/>
      <c r="W16" s="78"/>
      <c r="X16" s="78"/>
      <c r="Y16" s="78"/>
      <c r="Z16" s="78"/>
      <c r="AB16" s="77"/>
      <c r="AC16" s="196">
        <v>4250</v>
      </c>
      <c r="AD16" s="79"/>
      <c r="AE16" s="78"/>
      <c r="AF16" s="78"/>
      <c r="AG16" s="38">
        <v>4250</v>
      </c>
      <c r="AH16" s="80"/>
      <c r="AI16" s="78"/>
      <c r="AJ16" s="78"/>
      <c r="AK16" s="78"/>
      <c r="AL16" s="78"/>
      <c r="AM16" s="240">
        <v>6500</v>
      </c>
    </row>
    <row r="17" spans="1:39" x14ac:dyDescent="0.25">
      <c r="A17" s="47" t="s">
        <v>60</v>
      </c>
      <c r="B17" s="86"/>
      <c r="C17" s="87">
        <v>200</v>
      </c>
      <c r="D17" s="88">
        <v>200</v>
      </c>
      <c r="E17" s="88">
        <v>200</v>
      </c>
      <c r="F17" s="88">
        <v>300</v>
      </c>
      <c r="G17" s="88">
        <v>300</v>
      </c>
      <c r="H17" s="88">
        <v>400</v>
      </c>
      <c r="I17" s="88">
        <v>400</v>
      </c>
      <c r="J17" s="88">
        <v>400</v>
      </c>
      <c r="K17" s="88">
        <v>400</v>
      </c>
      <c r="L17" s="88">
        <v>400</v>
      </c>
      <c r="M17" s="88">
        <v>400</v>
      </c>
      <c r="N17" s="89">
        <v>400</v>
      </c>
      <c r="O17" s="41">
        <v>500</v>
      </c>
      <c r="P17" s="44">
        <v>500</v>
      </c>
      <c r="Q17" s="44">
        <v>500</v>
      </c>
      <c r="R17" s="44">
        <v>500</v>
      </c>
      <c r="S17" s="44">
        <v>500</v>
      </c>
      <c r="T17" s="44">
        <v>500</v>
      </c>
      <c r="U17" s="200"/>
      <c r="V17" s="41">
        <v>900</v>
      </c>
      <c r="W17" s="44">
        <v>900</v>
      </c>
      <c r="X17" s="44">
        <v>900</v>
      </c>
      <c r="Y17" s="44">
        <v>900</v>
      </c>
      <c r="Z17" s="44">
        <v>900</v>
      </c>
      <c r="AA17" s="45">
        <v>900</v>
      </c>
      <c r="AB17" s="41">
        <v>900</v>
      </c>
      <c r="AC17" s="44">
        <v>900</v>
      </c>
      <c r="AD17" s="44">
        <v>900</v>
      </c>
      <c r="AE17" s="44">
        <v>900</v>
      </c>
      <c r="AF17" s="44">
        <v>900</v>
      </c>
      <c r="AG17" s="44">
        <v>900</v>
      </c>
      <c r="AH17" s="45"/>
      <c r="AI17" s="46">
        <v>900</v>
      </c>
      <c r="AJ17" s="44">
        <v>900</v>
      </c>
      <c r="AK17" s="44">
        <v>900</v>
      </c>
      <c r="AL17" s="44">
        <v>900</v>
      </c>
      <c r="AM17" s="44">
        <v>900</v>
      </c>
    </row>
    <row r="18" spans="1:39" x14ac:dyDescent="0.25">
      <c r="A18" s="199" t="s">
        <v>101</v>
      </c>
      <c r="B18" s="63"/>
      <c r="C18" s="49"/>
      <c r="D18" s="51">
        <v>1000</v>
      </c>
      <c r="E18" s="51">
        <v>1000</v>
      </c>
      <c r="F18" s="51"/>
      <c r="G18" s="51"/>
      <c r="H18" s="51"/>
      <c r="I18" s="51"/>
      <c r="J18" s="51"/>
      <c r="K18" s="51">
        <v>33000</v>
      </c>
      <c r="L18" s="51">
        <v>32000</v>
      </c>
      <c r="M18" s="51">
        <v>25000</v>
      </c>
      <c r="N18" s="90">
        <v>5000</v>
      </c>
      <c r="O18" s="49">
        <v>5000</v>
      </c>
      <c r="P18" s="51">
        <v>1000</v>
      </c>
      <c r="R18" s="51">
        <v>1000</v>
      </c>
      <c r="S18" s="51"/>
      <c r="T18" s="51"/>
      <c r="U18" s="90"/>
      <c r="V18" s="49"/>
      <c r="W18" s="51">
        <v>36000</v>
      </c>
      <c r="X18" s="51">
        <v>32000</v>
      </c>
      <c r="Y18" s="51">
        <v>42000</v>
      </c>
      <c r="Z18" s="51">
        <v>4000</v>
      </c>
      <c r="AA18" s="64">
        <v>1000</v>
      </c>
      <c r="AB18" s="49">
        <v>1000</v>
      </c>
      <c r="AC18" s="51">
        <v>500</v>
      </c>
      <c r="AD18" s="51">
        <v>500</v>
      </c>
      <c r="AE18" s="51"/>
      <c r="AF18" s="51"/>
      <c r="AG18" s="51"/>
      <c r="AH18" s="64"/>
      <c r="AI18" s="65">
        <v>36000</v>
      </c>
      <c r="AJ18" s="51">
        <v>32000</v>
      </c>
      <c r="AK18" s="51">
        <v>42000</v>
      </c>
      <c r="AL18" s="51">
        <v>5000</v>
      </c>
      <c r="AM18" s="64">
        <v>2000</v>
      </c>
    </row>
    <row r="19" spans="1:39" ht="15.75" thickBot="1" x14ac:dyDescent="0.3">
      <c r="A19" s="75" t="s">
        <v>61</v>
      </c>
      <c r="B19" s="76"/>
      <c r="C19" s="77">
        <v>300</v>
      </c>
      <c r="D19" s="78">
        <v>300</v>
      </c>
      <c r="E19" s="78">
        <v>300</v>
      </c>
      <c r="F19" s="78">
        <v>400</v>
      </c>
      <c r="G19" s="78">
        <v>400</v>
      </c>
      <c r="H19" s="78">
        <v>400</v>
      </c>
      <c r="I19" s="78">
        <v>200</v>
      </c>
      <c r="J19" s="78">
        <v>100</v>
      </c>
      <c r="K19" s="78">
        <v>100</v>
      </c>
      <c r="L19" s="78">
        <v>600</v>
      </c>
      <c r="M19" s="78">
        <v>600</v>
      </c>
      <c r="N19" s="91">
        <v>600</v>
      </c>
      <c r="O19" s="77">
        <v>500</v>
      </c>
      <c r="P19" s="78">
        <v>500</v>
      </c>
      <c r="Q19" s="78">
        <v>500</v>
      </c>
      <c r="R19" s="78">
        <v>500</v>
      </c>
      <c r="S19" s="78">
        <v>500</v>
      </c>
      <c r="T19" s="78">
        <v>500</v>
      </c>
      <c r="U19" s="91">
        <v>500</v>
      </c>
      <c r="V19" s="56"/>
      <c r="W19" s="192">
        <v>300</v>
      </c>
      <c r="X19" s="192">
        <v>300</v>
      </c>
      <c r="Y19" s="192">
        <v>300</v>
      </c>
      <c r="Z19" s="192">
        <v>300</v>
      </c>
      <c r="AA19" s="137">
        <v>300</v>
      </c>
      <c r="AB19" s="233">
        <v>300</v>
      </c>
      <c r="AC19" s="192">
        <v>300</v>
      </c>
      <c r="AD19" s="192">
        <v>300</v>
      </c>
      <c r="AE19" s="192">
        <v>300</v>
      </c>
      <c r="AF19" s="192">
        <v>300</v>
      </c>
      <c r="AG19" s="192">
        <v>300</v>
      </c>
      <c r="AH19" s="58"/>
      <c r="AI19" s="228">
        <v>200</v>
      </c>
      <c r="AJ19" s="192">
        <v>200</v>
      </c>
      <c r="AK19" s="192">
        <v>200</v>
      </c>
      <c r="AL19" s="192">
        <v>200</v>
      </c>
      <c r="AM19" s="137">
        <v>200</v>
      </c>
    </row>
    <row r="20" spans="1:39" x14ac:dyDescent="0.25">
      <c r="A20" s="92" t="s">
        <v>8</v>
      </c>
      <c r="B20" s="60"/>
      <c r="C20" s="41"/>
      <c r="D20" s="44"/>
      <c r="E20" s="44"/>
      <c r="F20" s="44">
        <v>1500</v>
      </c>
      <c r="G20" s="44"/>
      <c r="H20" s="44"/>
      <c r="I20" s="44"/>
      <c r="J20" s="44"/>
      <c r="K20" s="44"/>
      <c r="L20" s="44">
        <v>1500</v>
      </c>
      <c r="M20" s="42"/>
      <c r="N20" s="93">
        <v>12600</v>
      </c>
      <c r="O20" s="41"/>
      <c r="P20" s="44">
        <v>4000</v>
      </c>
      <c r="Q20" s="44"/>
      <c r="R20" s="44"/>
      <c r="S20" s="198">
        <v>1500</v>
      </c>
      <c r="T20" s="198">
        <v>5000</v>
      </c>
      <c r="U20" s="205">
        <v>6500</v>
      </c>
      <c r="V20" s="87"/>
      <c r="W20" s="88"/>
      <c r="X20" s="88">
        <v>1500</v>
      </c>
      <c r="Y20" s="88"/>
      <c r="Z20" s="88"/>
      <c r="AA20" s="106">
        <v>5500</v>
      </c>
      <c r="AB20" s="105">
        <v>4000</v>
      </c>
      <c r="AC20" s="88"/>
      <c r="AD20" s="88"/>
      <c r="AE20" s="88">
        <v>1500</v>
      </c>
      <c r="AF20" s="226">
        <v>5000</v>
      </c>
      <c r="AG20" s="226">
        <v>6500</v>
      </c>
      <c r="AH20" s="227">
        <v>2000</v>
      </c>
      <c r="AI20" s="41"/>
      <c r="AJ20" s="44">
        <v>1500</v>
      </c>
      <c r="AK20" s="44">
        <v>2000</v>
      </c>
      <c r="AL20" s="44"/>
      <c r="AM20" s="45">
        <v>5500</v>
      </c>
    </row>
    <row r="21" spans="1:39" ht="15.75" thickBot="1" x14ac:dyDescent="0.3">
      <c r="A21" s="54" t="s">
        <v>62</v>
      </c>
      <c r="B21" s="55"/>
      <c r="C21" s="56"/>
      <c r="D21" s="57"/>
      <c r="E21" s="57"/>
      <c r="F21" s="57"/>
      <c r="G21" s="57"/>
      <c r="H21" s="57"/>
      <c r="I21" s="57"/>
      <c r="J21" s="57"/>
      <c r="K21" s="57"/>
      <c r="L21" s="57"/>
      <c r="M21" s="57"/>
      <c r="N21" s="94">
        <v>1000</v>
      </c>
      <c r="O21" s="56"/>
      <c r="P21" s="57"/>
      <c r="Q21" s="57"/>
      <c r="R21" s="57"/>
      <c r="S21" s="57"/>
      <c r="T21" s="57"/>
      <c r="U21" s="94"/>
      <c r="V21" s="56"/>
      <c r="W21" s="57"/>
      <c r="X21" s="57"/>
      <c r="Y21" s="57"/>
      <c r="Z21" s="57"/>
      <c r="AA21" s="57">
        <v>1500</v>
      </c>
      <c r="AB21" s="59"/>
      <c r="AC21" s="57"/>
      <c r="AD21" s="57"/>
      <c r="AE21" s="57"/>
      <c r="AF21" s="57"/>
      <c r="AG21" s="57"/>
      <c r="AH21" s="58"/>
      <c r="AI21" s="56"/>
      <c r="AJ21" s="57"/>
      <c r="AK21" s="57"/>
      <c r="AL21" s="57">
        <v>1500</v>
      </c>
      <c r="AM21" s="98"/>
    </row>
    <row r="22" spans="1:39" ht="15.75" thickBot="1" x14ac:dyDescent="0.3">
      <c r="A22" s="95" t="s">
        <v>63</v>
      </c>
      <c r="B22" s="96"/>
      <c r="C22" s="97"/>
      <c r="D22" s="83"/>
      <c r="E22" s="83"/>
      <c r="F22" s="83"/>
      <c r="G22" s="83"/>
      <c r="H22" s="83">
        <v>10500</v>
      </c>
      <c r="I22" s="83"/>
      <c r="J22" s="83"/>
      <c r="K22" s="83"/>
      <c r="L22" s="83"/>
      <c r="M22" s="83"/>
      <c r="N22" s="98"/>
      <c r="O22" s="99"/>
      <c r="P22" s="99"/>
      <c r="Q22" s="83"/>
      <c r="R22" s="83"/>
      <c r="S22" s="83"/>
      <c r="T22" s="83"/>
      <c r="U22" s="206"/>
      <c r="V22" s="97"/>
      <c r="W22" s="83"/>
      <c r="X22" s="83"/>
      <c r="Y22" s="83"/>
      <c r="Z22" s="83"/>
      <c r="AA22" s="219"/>
      <c r="AB22" s="97"/>
      <c r="AC22" s="83"/>
      <c r="AD22" s="83"/>
      <c r="AE22" s="83"/>
      <c r="AF22" s="83"/>
      <c r="AG22" s="83"/>
      <c r="AH22" s="98"/>
      <c r="AI22" s="83"/>
      <c r="AJ22" s="83"/>
      <c r="AK22" s="83"/>
      <c r="AL22" s="83"/>
      <c r="AM22" s="219"/>
    </row>
    <row r="23" spans="1:39" ht="15.75" thickBot="1" x14ac:dyDescent="0.3">
      <c r="A23" s="100"/>
      <c r="B23" s="101"/>
      <c r="C23" s="102">
        <f t="shared" ref="C23:AH23" si="0">SUM(C2:C22)</f>
        <v>54500</v>
      </c>
      <c r="D23" s="102">
        <f t="shared" si="0"/>
        <v>3000</v>
      </c>
      <c r="E23" s="102">
        <f t="shared" si="0"/>
        <v>1500</v>
      </c>
      <c r="F23" s="102">
        <f t="shared" si="0"/>
        <v>4200</v>
      </c>
      <c r="G23" s="102">
        <f t="shared" si="0"/>
        <v>17200</v>
      </c>
      <c r="H23" s="102">
        <f t="shared" si="0"/>
        <v>26000</v>
      </c>
      <c r="I23" s="102">
        <f t="shared" si="0"/>
        <v>47100</v>
      </c>
      <c r="J23" s="102">
        <f t="shared" si="0"/>
        <v>29500</v>
      </c>
      <c r="K23" s="102">
        <f t="shared" si="0"/>
        <v>41500</v>
      </c>
      <c r="L23" s="102">
        <f t="shared" si="0"/>
        <v>35500</v>
      </c>
      <c r="M23" s="102">
        <f t="shared" si="0"/>
        <v>41720</v>
      </c>
      <c r="N23" s="102">
        <f t="shared" si="0"/>
        <v>20600</v>
      </c>
      <c r="O23" s="102">
        <f t="shared" si="0"/>
        <v>94200</v>
      </c>
      <c r="P23" s="102">
        <f t="shared" si="0"/>
        <v>12200</v>
      </c>
      <c r="Q23" s="102">
        <f t="shared" si="0"/>
        <v>6200</v>
      </c>
      <c r="R23" s="102">
        <f t="shared" si="0"/>
        <v>3200</v>
      </c>
      <c r="S23" s="102">
        <f t="shared" si="0"/>
        <v>9200</v>
      </c>
      <c r="T23" s="102">
        <f t="shared" si="0"/>
        <v>11600</v>
      </c>
      <c r="U23" s="207">
        <f t="shared" si="0"/>
        <v>38500</v>
      </c>
      <c r="V23" s="123">
        <f t="shared" si="0"/>
        <v>22500</v>
      </c>
      <c r="W23" s="123">
        <f t="shared" si="0"/>
        <v>56800</v>
      </c>
      <c r="X23" s="123">
        <f t="shared" si="0"/>
        <v>47250</v>
      </c>
      <c r="Y23" s="123">
        <f t="shared" si="0"/>
        <v>79100</v>
      </c>
      <c r="Z23" s="123">
        <f t="shared" si="0"/>
        <v>10100</v>
      </c>
      <c r="AA23" s="124">
        <f t="shared" si="0"/>
        <v>10600</v>
      </c>
      <c r="AB23" s="123">
        <f>SUM(AB2:AB22)</f>
        <v>9200</v>
      </c>
      <c r="AC23" s="123">
        <f>SUM(AC2:AC22)</f>
        <v>71350</v>
      </c>
      <c r="AD23" s="123">
        <f t="shared" si="0"/>
        <v>7700</v>
      </c>
      <c r="AE23" s="123">
        <f t="shared" si="0"/>
        <v>5600</v>
      </c>
      <c r="AF23" s="123">
        <f t="shared" si="0"/>
        <v>14000</v>
      </c>
      <c r="AG23" s="123">
        <f t="shared" si="0"/>
        <v>47650</v>
      </c>
      <c r="AH23" s="124">
        <f t="shared" si="0"/>
        <v>16400</v>
      </c>
      <c r="AI23" s="123">
        <f>SUM(AI2:AI22)</f>
        <v>54800</v>
      </c>
      <c r="AJ23" s="123">
        <f>SUM(AJ2:AJ22)</f>
        <v>42750</v>
      </c>
      <c r="AK23" s="123">
        <f>SUM(AK2:AK22)</f>
        <v>80000</v>
      </c>
      <c r="AL23" s="123">
        <f>SUM(AL2:AL22)</f>
        <v>11500</v>
      </c>
      <c r="AM23" s="124">
        <f>SUM(AM2:AM22)</f>
        <v>16500</v>
      </c>
    </row>
    <row r="24" spans="1:39" ht="15.75" thickBot="1" x14ac:dyDescent="0.3">
      <c r="A24" s="100"/>
      <c r="B24" s="127"/>
      <c r="C24" s="127"/>
      <c r="D24" s="127"/>
      <c r="E24" s="127"/>
      <c r="F24" s="127"/>
      <c r="G24" s="127"/>
      <c r="H24" s="127"/>
      <c r="I24" s="127"/>
      <c r="J24" s="127"/>
      <c r="K24" s="127"/>
      <c r="L24" s="127"/>
      <c r="M24" s="127"/>
      <c r="N24" s="127"/>
      <c r="O24" s="127"/>
      <c r="P24" s="127"/>
      <c r="Q24" s="127"/>
      <c r="R24" s="127"/>
      <c r="S24" s="127"/>
      <c r="T24" s="127"/>
      <c r="U24" s="127"/>
      <c r="V24" s="127"/>
      <c r="W24" s="127"/>
      <c r="X24" s="127"/>
      <c r="Y24" s="127"/>
      <c r="Z24" s="127"/>
      <c r="AA24" s="128"/>
      <c r="AI24" s="127"/>
      <c r="AJ24" s="127"/>
      <c r="AK24" s="127"/>
      <c r="AL24" s="127"/>
      <c r="AM24" s="128"/>
    </row>
    <row r="25" spans="1:39" ht="16.5" thickBot="1" x14ac:dyDescent="0.3">
      <c r="A25" s="103" t="s">
        <v>64</v>
      </c>
      <c r="B25" s="34">
        <v>45261</v>
      </c>
      <c r="C25" s="35">
        <v>45292</v>
      </c>
      <c r="D25" s="35">
        <v>45323</v>
      </c>
      <c r="E25" s="35">
        <v>45352</v>
      </c>
      <c r="F25" s="35">
        <v>45383</v>
      </c>
      <c r="G25" s="35">
        <v>45413</v>
      </c>
      <c r="H25" s="35">
        <v>45444</v>
      </c>
      <c r="I25" s="35">
        <v>45474</v>
      </c>
      <c r="J25" s="36">
        <v>45505</v>
      </c>
      <c r="K25" s="36">
        <v>45536</v>
      </c>
      <c r="L25" s="36">
        <v>45566</v>
      </c>
      <c r="M25" s="36">
        <v>45597</v>
      </c>
      <c r="N25" s="36">
        <v>45627</v>
      </c>
      <c r="O25" s="37">
        <v>45658</v>
      </c>
      <c r="P25" s="35">
        <v>45689</v>
      </c>
      <c r="Q25" s="36">
        <v>45717</v>
      </c>
      <c r="R25" s="35">
        <v>45748</v>
      </c>
      <c r="S25" s="36">
        <v>45778</v>
      </c>
      <c r="T25" s="35">
        <v>45809</v>
      </c>
      <c r="U25" s="34">
        <v>45839</v>
      </c>
      <c r="V25" s="35">
        <v>45870</v>
      </c>
      <c r="W25" s="36">
        <v>45901</v>
      </c>
      <c r="X25" s="35">
        <v>45931</v>
      </c>
      <c r="Y25" s="36">
        <v>45962</v>
      </c>
      <c r="Z25" s="35">
        <v>45992</v>
      </c>
      <c r="AA25" s="36">
        <v>46023</v>
      </c>
      <c r="AB25" s="35">
        <v>46054</v>
      </c>
      <c r="AC25" s="36">
        <v>46082</v>
      </c>
      <c r="AD25" s="35">
        <v>46113</v>
      </c>
      <c r="AE25" s="36">
        <v>46143</v>
      </c>
      <c r="AF25" s="35">
        <v>46174</v>
      </c>
      <c r="AG25" s="36">
        <v>46204</v>
      </c>
      <c r="AH25" s="35">
        <v>46235</v>
      </c>
      <c r="AI25" s="36">
        <v>46266</v>
      </c>
      <c r="AJ25" s="35">
        <v>46296</v>
      </c>
      <c r="AK25" s="36">
        <v>46327</v>
      </c>
      <c r="AL25" s="35">
        <v>46357</v>
      </c>
      <c r="AM25" s="36">
        <v>46388</v>
      </c>
    </row>
    <row r="26" spans="1:39" x14ac:dyDescent="0.25">
      <c r="A26" s="104" t="s">
        <v>65</v>
      </c>
      <c r="B26" s="60"/>
      <c r="C26" s="87"/>
      <c r="D26" s="88">
        <v>2100</v>
      </c>
      <c r="E26" s="105">
        <v>2100</v>
      </c>
      <c r="F26" s="88">
        <v>350</v>
      </c>
      <c r="G26" s="88"/>
      <c r="H26" s="88"/>
      <c r="I26" s="88"/>
      <c r="J26" s="88"/>
      <c r="K26" s="88"/>
      <c r="L26" s="88"/>
      <c r="M26" s="88">
        <v>750</v>
      </c>
      <c r="N26" s="106"/>
      <c r="O26" s="41">
        <v>3000</v>
      </c>
      <c r="P26" s="44"/>
      <c r="Q26" s="44"/>
      <c r="R26" s="44">
        <v>1000</v>
      </c>
      <c r="S26" s="46">
        <v>3000</v>
      </c>
      <c r="T26" s="44"/>
      <c r="V26" s="41"/>
      <c r="W26" s="46">
        <v>2000</v>
      </c>
      <c r="X26" s="44"/>
      <c r="Y26" s="44"/>
      <c r="Z26" s="44">
        <v>3000</v>
      </c>
      <c r="AA26" s="45"/>
      <c r="AB26" s="41"/>
      <c r="AC26" s="44"/>
      <c r="AD26" s="44">
        <v>1500</v>
      </c>
      <c r="AE26" s="46"/>
      <c r="AF26" s="44"/>
      <c r="AH26" s="45"/>
      <c r="AI26" s="46">
        <v>2000</v>
      </c>
      <c r="AJ26" s="44"/>
      <c r="AK26" s="44"/>
      <c r="AL26" s="44">
        <v>3000</v>
      </c>
      <c r="AM26" s="45"/>
    </row>
    <row r="27" spans="1:39" x14ac:dyDescent="0.25">
      <c r="A27" s="107" t="s">
        <v>66</v>
      </c>
      <c r="B27" s="86"/>
      <c r="C27" s="87"/>
      <c r="D27" s="88"/>
      <c r="E27" s="105"/>
      <c r="F27" s="88"/>
      <c r="G27" s="88"/>
      <c r="H27" s="88"/>
      <c r="I27" s="88"/>
      <c r="J27" s="88"/>
      <c r="K27" s="88"/>
      <c r="L27" s="88">
        <v>7500</v>
      </c>
      <c r="M27" s="88"/>
      <c r="N27" s="106">
        <v>800</v>
      </c>
      <c r="O27" s="87"/>
      <c r="P27" s="88"/>
      <c r="Q27" s="88"/>
      <c r="R27" s="88"/>
      <c r="S27" s="88"/>
      <c r="T27" s="51"/>
      <c r="U27" s="90"/>
      <c r="V27" s="87"/>
      <c r="W27" s="88"/>
      <c r="X27" s="88"/>
      <c r="Y27" s="88"/>
      <c r="Z27" s="88"/>
      <c r="AA27" s="106"/>
      <c r="AB27" s="87"/>
      <c r="AC27" s="88"/>
      <c r="AD27" s="235">
        <v>15000</v>
      </c>
      <c r="AE27" s="88"/>
      <c r="AF27" s="51"/>
      <c r="AG27" s="51"/>
      <c r="AH27" s="106"/>
      <c r="AI27" s="88"/>
      <c r="AJ27" s="88"/>
      <c r="AK27" s="88"/>
      <c r="AL27" s="88"/>
      <c r="AM27" s="106"/>
    </row>
    <row r="28" spans="1:39" x14ac:dyDescent="0.25">
      <c r="A28" s="107" t="s">
        <v>53</v>
      </c>
      <c r="B28" s="86"/>
      <c r="C28" s="49"/>
      <c r="D28" s="51"/>
      <c r="E28" s="65"/>
      <c r="F28" s="51"/>
      <c r="G28" s="51"/>
      <c r="H28" s="51"/>
      <c r="I28" s="51"/>
      <c r="J28" s="51"/>
      <c r="K28" s="51"/>
      <c r="L28" s="51">
        <v>300</v>
      </c>
      <c r="M28" s="51">
        <v>2000</v>
      </c>
      <c r="N28" s="64"/>
      <c r="O28" s="49"/>
      <c r="P28" s="51"/>
      <c r="Q28" s="65"/>
      <c r="R28" s="51"/>
      <c r="S28" s="51"/>
      <c r="T28" s="51"/>
      <c r="U28" s="90"/>
      <c r="V28" s="49"/>
      <c r="W28" s="51"/>
      <c r="X28" s="51">
        <v>1500</v>
      </c>
      <c r="Y28" s="51">
        <v>4500</v>
      </c>
      <c r="Z28" s="51"/>
      <c r="AA28" s="64"/>
      <c r="AB28" s="49"/>
      <c r="AC28" s="65"/>
      <c r="AD28" s="51"/>
      <c r="AE28" s="51"/>
      <c r="AF28" s="51"/>
      <c r="AG28" s="51"/>
      <c r="AH28" s="64"/>
      <c r="AI28" s="51">
        <v>500</v>
      </c>
      <c r="AJ28" s="51">
        <v>1500</v>
      </c>
      <c r="AK28" s="51">
        <v>3000</v>
      </c>
      <c r="AL28" s="51"/>
      <c r="AM28" s="64"/>
    </row>
    <row r="29" spans="1:39" ht="15.75" thickBot="1" x14ac:dyDescent="0.3">
      <c r="A29" s="234" t="s">
        <v>102</v>
      </c>
      <c r="B29" s="76"/>
      <c r="C29" s="77"/>
      <c r="D29" s="78"/>
      <c r="E29" s="79"/>
      <c r="F29" s="78"/>
      <c r="G29" s="78"/>
      <c r="H29" s="78"/>
      <c r="I29" s="78"/>
      <c r="J29" s="78">
        <v>400</v>
      </c>
      <c r="K29" s="78"/>
      <c r="L29" s="78">
        <v>1500</v>
      </c>
      <c r="M29" s="78"/>
      <c r="N29" s="80">
        <v>3000</v>
      </c>
      <c r="O29" s="77"/>
      <c r="P29" s="78"/>
      <c r="Q29" s="79"/>
      <c r="R29" s="78"/>
      <c r="S29" s="78"/>
      <c r="T29" s="78"/>
      <c r="U29" s="91"/>
      <c r="V29" s="215">
        <v>750</v>
      </c>
      <c r="W29" s="78"/>
      <c r="X29" s="78"/>
      <c r="Y29" s="78"/>
      <c r="Z29" s="194">
        <v>2500</v>
      </c>
      <c r="AA29" s="80"/>
      <c r="AB29" s="77"/>
      <c r="AC29" s="79">
        <v>1000</v>
      </c>
      <c r="AD29" s="78"/>
      <c r="AE29" s="78"/>
      <c r="AF29" s="78"/>
      <c r="AG29" s="78"/>
      <c r="AH29" s="80">
        <v>750</v>
      </c>
      <c r="AI29" s="78"/>
      <c r="AJ29" s="78"/>
      <c r="AK29" s="78"/>
      <c r="AL29" s="194">
        <v>2500</v>
      </c>
      <c r="AM29" s="80"/>
    </row>
    <row r="30" spans="1:39" x14ac:dyDescent="0.25">
      <c r="A30" s="104" t="s">
        <v>67</v>
      </c>
      <c r="B30" s="60"/>
      <c r="C30" s="41"/>
      <c r="D30" s="41"/>
      <c r="E30" s="46">
        <v>650</v>
      </c>
      <c r="F30" s="109"/>
      <c r="G30" s="44">
        <v>650</v>
      </c>
      <c r="H30" s="44"/>
      <c r="I30" s="44">
        <v>650</v>
      </c>
      <c r="J30" s="44"/>
      <c r="K30" s="44">
        <v>650</v>
      </c>
      <c r="L30" s="44"/>
      <c r="M30" s="44">
        <v>650</v>
      </c>
      <c r="N30" s="45"/>
      <c r="O30" s="41">
        <v>700</v>
      </c>
      <c r="P30" s="109"/>
      <c r="Q30" s="46">
        <v>700</v>
      </c>
      <c r="R30" s="109"/>
      <c r="S30" s="44">
        <v>700</v>
      </c>
      <c r="T30" s="44"/>
      <c r="U30" s="220">
        <v>700</v>
      </c>
      <c r="V30" s="223"/>
      <c r="W30" s="44">
        <v>700</v>
      </c>
      <c r="X30" s="44"/>
      <c r="Y30" s="46">
        <v>700</v>
      </c>
      <c r="Z30" s="109"/>
      <c r="AA30" s="45">
        <v>700</v>
      </c>
      <c r="AB30" s="223"/>
      <c r="AC30" s="46">
        <v>600</v>
      </c>
      <c r="AD30" s="109"/>
      <c r="AE30" s="44">
        <v>600</v>
      </c>
      <c r="AF30" s="44"/>
      <c r="AG30" s="46">
        <v>600</v>
      </c>
      <c r="AH30" s="133"/>
      <c r="AI30" s="44">
        <v>600</v>
      </c>
      <c r="AJ30" s="44"/>
      <c r="AK30" s="46">
        <v>600</v>
      </c>
      <c r="AL30" s="109"/>
      <c r="AM30" s="45">
        <v>600</v>
      </c>
    </row>
    <row r="31" spans="1:39" ht="15.75" thickBot="1" x14ac:dyDescent="0.3">
      <c r="A31" s="110" t="s">
        <v>68</v>
      </c>
      <c r="B31" s="55"/>
      <c r="C31" s="56"/>
      <c r="D31" s="111"/>
      <c r="E31" s="59">
        <v>4000</v>
      </c>
      <c r="F31" s="112"/>
      <c r="G31" s="57"/>
      <c r="H31" s="57"/>
      <c r="I31" s="57">
        <v>4000</v>
      </c>
      <c r="J31" s="57"/>
      <c r="K31" s="57"/>
      <c r="L31" s="57">
        <v>4000</v>
      </c>
      <c r="M31" s="57"/>
      <c r="N31" s="58"/>
      <c r="O31" s="56">
        <v>5000</v>
      </c>
      <c r="P31" s="111">
        <v>700</v>
      </c>
      <c r="Q31" s="59">
        <v>700</v>
      </c>
      <c r="R31" s="112">
        <v>700</v>
      </c>
      <c r="S31" s="57">
        <v>700</v>
      </c>
      <c r="T31" s="57">
        <v>700</v>
      </c>
      <c r="U31" s="221">
        <v>700</v>
      </c>
      <c r="V31" s="97">
        <v>700</v>
      </c>
      <c r="W31" s="57">
        <v>700</v>
      </c>
      <c r="X31" s="57">
        <v>700</v>
      </c>
      <c r="Y31" s="59">
        <v>700</v>
      </c>
      <c r="Z31" s="112">
        <v>700</v>
      </c>
      <c r="AA31" s="58">
        <v>5000</v>
      </c>
      <c r="AB31" s="224">
        <v>700</v>
      </c>
      <c r="AC31" s="59">
        <v>700</v>
      </c>
      <c r="AD31" s="112">
        <v>700</v>
      </c>
      <c r="AE31" s="57">
        <v>700</v>
      </c>
      <c r="AF31" s="57">
        <v>700</v>
      </c>
      <c r="AG31" s="59">
        <v>700</v>
      </c>
      <c r="AH31" s="219">
        <v>700</v>
      </c>
      <c r="AI31" s="57">
        <v>700</v>
      </c>
      <c r="AJ31" s="57">
        <v>700</v>
      </c>
      <c r="AK31" s="59">
        <v>700</v>
      </c>
      <c r="AL31" s="112">
        <v>700</v>
      </c>
      <c r="AM31" s="58">
        <v>5000</v>
      </c>
    </row>
    <row r="32" spans="1:39" ht="15.75" thickBot="1" x14ac:dyDescent="0.3">
      <c r="A32" s="108" t="s">
        <v>69</v>
      </c>
      <c r="B32" s="68"/>
      <c r="C32" s="69"/>
      <c r="D32" s="70"/>
      <c r="E32" s="72">
        <v>100</v>
      </c>
      <c r="F32" s="70"/>
      <c r="G32" s="70">
        <v>100</v>
      </c>
      <c r="H32" s="70"/>
      <c r="I32" s="70">
        <v>100</v>
      </c>
      <c r="J32" s="70"/>
      <c r="K32" s="70">
        <v>100</v>
      </c>
      <c r="L32" s="70"/>
      <c r="M32" s="70">
        <v>100</v>
      </c>
      <c r="N32" s="74"/>
      <c r="O32" s="69">
        <v>200</v>
      </c>
      <c r="P32" s="70"/>
      <c r="Q32" s="72">
        <v>200</v>
      </c>
      <c r="R32" s="70"/>
      <c r="S32" s="70">
        <v>100</v>
      </c>
      <c r="T32" s="70"/>
      <c r="U32" s="73">
        <v>200</v>
      </c>
      <c r="V32" s="69"/>
      <c r="W32" s="70">
        <v>100</v>
      </c>
      <c r="X32" s="70"/>
      <c r="Y32" s="72">
        <v>200</v>
      </c>
      <c r="Z32" s="70"/>
      <c r="AA32" s="74">
        <v>100</v>
      </c>
      <c r="AB32" s="69"/>
      <c r="AC32" s="72">
        <v>200</v>
      </c>
      <c r="AD32" s="70"/>
      <c r="AE32" s="70">
        <v>100</v>
      </c>
      <c r="AF32" s="70"/>
      <c r="AG32" s="72">
        <v>200</v>
      </c>
      <c r="AH32" s="74"/>
      <c r="AI32" s="70">
        <v>100</v>
      </c>
      <c r="AJ32" s="70"/>
      <c r="AK32" s="72">
        <v>200</v>
      </c>
      <c r="AL32" s="70"/>
      <c r="AM32" s="74">
        <v>100</v>
      </c>
    </row>
    <row r="33" spans="1:39" x14ac:dyDescent="0.25">
      <c r="A33" s="104" t="s">
        <v>70</v>
      </c>
      <c r="B33" s="60"/>
      <c r="C33" s="41"/>
      <c r="D33" s="44">
        <v>500</v>
      </c>
      <c r="E33" s="46">
        <v>500</v>
      </c>
      <c r="F33" s="44">
        <v>500</v>
      </c>
      <c r="G33" s="44">
        <v>500</v>
      </c>
      <c r="H33" s="44">
        <v>500</v>
      </c>
      <c r="I33" s="44">
        <v>500</v>
      </c>
      <c r="J33" s="44"/>
      <c r="K33" s="44">
        <v>500</v>
      </c>
      <c r="L33" s="44">
        <v>500</v>
      </c>
      <c r="M33" s="44">
        <v>500</v>
      </c>
      <c r="N33" s="45">
        <v>500</v>
      </c>
      <c r="O33" s="41">
        <v>750</v>
      </c>
      <c r="P33" s="44">
        <v>750</v>
      </c>
      <c r="Q33" s="46">
        <v>750</v>
      </c>
      <c r="R33" s="44">
        <v>750</v>
      </c>
      <c r="S33" s="46">
        <v>750</v>
      </c>
      <c r="T33" s="44">
        <v>750</v>
      </c>
      <c r="U33" s="220">
        <v>750</v>
      </c>
      <c r="V33" s="41"/>
      <c r="W33" s="46">
        <v>750</v>
      </c>
      <c r="X33" s="44">
        <v>750</v>
      </c>
      <c r="Y33" s="46">
        <v>750</v>
      </c>
      <c r="Z33" s="44">
        <v>750</v>
      </c>
      <c r="AA33" s="66">
        <v>750</v>
      </c>
      <c r="AB33" s="41">
        <v>750</v>
      </c>
      <c r="AC33" s="46">
        <v>750</v>
      </c>
      <c r="AD33" s="44">
        <v>750</v>
      </c>
      <c r="AE33" s="46">
        <v>750</v>
      </c>
      <c r="AF33" s="44">
        <v>750</v>
      </c>
      <c r="AG33" s="46">
        <v>750</v>
      </c>
      <c r="AH33" s="45"/>
      <c r="AI33" s="46">
        <v>750</v>
      </c>
      <c r="AJ33" s="44">
        <v>750</v>
      </c>
      <c r="AK33" s="46">
        <v>750</v>
      </c>
      <c r="AL33" s="44">
        <v>750</v>
      </c>
      <c r="AM33" s="66">
        <v>750</v>
      </c>
    </row>
    <row r="34" spans="1:39" x14ac:dyDescent="0.25">
      <c r="A34" s="113" t="s">
        <v>71</v>
      </c>
      <c r="B34" s="63"/>
      <c r="C34" s="49">
        <v>1340</v>
      </c>
      <c r="D34" s="51">
        <v>3370</v>
      </c>
      <c r="E34" s="65">
        <v>3000</v>
      </c>
      <c r="F34" s="51">
        <v>2900</v>
      </c>
      <c r="G34" s="51">
        <v>2340</v>
      </c>
      <c r="H34" s="51">
        <v>7300</v>
      </c>
      <c r="I34" s="51">
        <v>8460</v>
      </c>
      <c r="J34" s="51">
        <v>2000</v>
      </c>
      <c r="K34" s="51">
        <v>1000</v>
      </c>
      <c r="L34" s="51">
        <v>3000</v>
      </c>
      <c r="M34" s="51">
        <v>3000</v>
      </c>
      <c r="N34" s="64">
        <v>3000</v>
      </c>
      <c r="O34" s="49">
        <v>1500</v>
      </c>
      <c r="P34" s="51">
        <v>3370</v>
      </c>
      <c r="Q34" s="65">
        <v>3000</v>
      </c>
      <c r="R34" s="51">
        <v>2900</v>
      </c>
      <c r="S34" s="51">
        <v>5340</v>
      </c>
      <c r="T34" s="51">
        <v>8300</v>
      </c>
      <c r="U34" s="90">
        <v>9460</v>
      </c>
      <c r="V34" s="49">
        <v>3500</v>
      </c>
      <c r="W34" s="51">
        <v>1500</v>
      </c>
      <c r="X34" s="51">
        <v>4000</v>
      </c>
      <c r="Y34" s="51">
        <v>3000</v>
      </c>
      <c r="Z34" s="51">
        <v>3000</v>
      </c>
      <c r="AA34" s="64">
        <v>1500</v>
      </c>
      <c r="AB34" s="49">
        <v>4370</v>
      </c>
      <c r="AC34" s="65">
        <v>8000</v>
      </c>
      <c r="AD34" s="51">
        <v>2900</v>
      </c>
      <c r="AE34" s="51">
        <v>5340</v>
      </c>
      <c r="AF34" s="51">
        <v>8300</v>
      </c>
      <c r="AG34" s="51">
        <v>10800</v>
      </c>
      <c r="AH34" s="64">
        <v>3500</v>
      </c>
      <c r="AI34" s="51">
        <v>1500</v>
      </c>
      <c r="AJ34" s="51">
        <v>4000</v>
      </c>
      <c r="AK34" s="51">
        <v>3000</v>
      </c>
      <c r="AL34" s="51">
        <v>3000</v>
      </c>
      <c r="AM34" s="64">
        <v>1500</v>
      </c>
    </row>
    <row r="35" spans="1:39" ht="15.75" thickBot="1" x14ac:dyDescent="0.3">
      <c r="A35" s="114" t="s">
        <v>72</v>
      </c>
      <c r="B35" s="55"/>
      <c r="C35" s="56">
        <v>400</v>
      </c>
      <c r="D35" s="57">
        <v>3700</v>
      </c>
      <c r="E35" s="59">
        <v>400</v>
      </c>
      <c r="F35" s="57">
        <v>400</v>
      </c>
      <c r="G35" s="57">
        <v>400</v>
      </c>
      <c r="H35" s="57">
        <v>400</v>
      </c>
      <c r="I35" s="57">
        <v>400</v>
      </c>
      <c r="J35" s="57"/>
      <c r="K35" s="57">
        <v>200</v>
      </c>
      <c r="L35" s="57">
        <v>200</v>
      </c>
      <c r="M35" s="57">
        <v>200</v>
      </c>
      <c r="N35" s="58">
        <v>200</v>
      </c>
      <c r="O35" s="56">
        <v>200</v>
      </c>
      <c r="P35" s="57">
        <v>400</v>
      </c>
      <c r="Q35" s="57">
        <v>400</v>
      </c>
      <c r="R35" s="57">
        <v>500</v>
      </c>
      <c r="S35" s="57">
        <v>500</v>
      </c>
      <c r="T35" s="57">
        <v>500</v>
      </c>
      <c r="U35" s="94">
        <v>500</v>
      </c>
      <c r="V35" s="56"/>
      <c r="W35" s="57">
        <v>500</v>
      </c>
      <c r="X35" s="57">
        <v>500</v>
      </c>
      <c r="Y35" s="57">
        <v>400</v>
      </c>
      <c r="Z35" s="57">
        <v>400</v>
      </c>
      <c r="AA35" s="58">
        <v>200</v>
      </c>
      <c r="AB35" s="56">
        <v>400</v>
      </c>
      <c r="AC35" s="57">
        <v>400</v>
      </c>
      <c r="AD35" s="57">
        <v>500</v>
      </c>
      <c r="AE35" s="57">
        <v>500</v>
      </c>
      <c r="AF35" s="57">
        <v>500</v>
      </c>
      <c r="AG35" s="57">
        <v>500</v>
      </c>
      <c r="AH35" s="58"/>
      <c r="AI35" s="57">
        <v>500</v>
      </c>
      <c r="AJ35" s="57">
        <v>500</v>
      </c>
      <c r="AK35" s="57">
        <v>400</v>
      </c>
      <c r="AL35" s="57">
        <v>400</v>
      </c>
      <c r="AM35" s="58">
        <v>200</v>
      </c>
    </row>
    <row r="36" spans="1:39" ht="16.5" customHeight="1" x14ac:dyDescent="0.25">
      <c r="A36" s="244" t="s">
        <v>104</v>
      </c>
      <c r="B36" s="86"/>
      <c r="C36" s="87"/>
      <c r="D36" s="88"/>
      <c r="E36" s="105"/>
      <c r="F36" s="88"/>
      <c r="G36" s="88"/>
      <c r="H36" s="88">
        <v>2500</v>
      </c>
      <c r="I36" s="88">
        <v>6500</v>
      </c>
      <c r="J36" s="88">
        <v>2500</v>
      </c>
      <c r="K36" s="88"/>
      <c r="L36" s="88"/>
      <c r="M36" s="88"/>
      <c r="N36" s="106"/>
      <c r="O36" s="87"/>
      <c r="P36" s="88"/>
      <c r="Q36" s="105"/>
      <c r="R36" s="88"/>
      <c r="S36" s="88"/>
      <c r="T36" s="88"/>
      <c r="U36" s="89">
        <v>8500</v>
      </c>
      <c r="V36" s="87">
        <v>3000</v>
      </c>
      <c r="W36" s="88">
        <v>200</v>
      </c>
      <c r="X36" s="88">
        <v>500</v>
      </c>
      <c r="Z36" s="88"/>
      <c r="AA36" s="106"/>
      <c r="AB36" s="87">
        <v>500</v>
      </c>
      <c r="AC36" s="105"/>
      <c r="AD36" s="88">
        <v>500</v>
      </c>
      <c r="AE36" s="88"/>
      <c r="AF36" s="88"/>
      <c r="AG36" s="88">
        <v>8500</v>
      </c>
      <c r="AH36" s="106">
        <v>3000</v>
      </c>
      <c r="AI36" s="88">
        <v>500</v>
      </c>
      <c r="AJ36" s="88"/>
      <c r="AK36" s="88"/>
      <c r="AL36" s="88"/>
      <c r="AM36" s="106"/>
    </row>
    <row r="37" spans="1:39" ht="15.75" thickBot="1" x14ac:dyDescent="0.3">
      <c r="A37" s="115" t="s">
        <v>73</v>
      </c>
      <c r="B37" s="76"/>
      <c r="C37" s="77"/>
      <c r="D37" s="78"/>
      <c r="E37" s="79"/>
      <c r="F37" s="78">
        <v>500</v>
      </c>
      <c r="G37" s="116"/>
      <c r="H37" s="78"/>
      <c r="I37" s="78">
        <v>500</v>
      </c>
      <c r="J37" s="78"/>
      <c r="K37" s="78">
        <v>500</v>
      </c>
      <c r="L37" s="78"/>
      <c r="M37" s="78"/>
      <c r="N37" s="80"/>
      <c r="O37" s="77"/>
      <c r="P37" s="78"/>
      <c r="Q37" s="79"/>
      <c r="R37" s="78">
        <v>500</v>
      </c>
      <c r="S37" s="116"/>
      <c r="T37" s="78"/>
      <c r="U37" s="91">
        <v>500</v>
      </c>
      <c r="V37" s="77"/>
      <c r="W37" s="78">
        <v>500</v>
      </c>
      <c r="X37" s="78"/>
      <c r="Y37" s="78"/>
      <c r="Z37" s="78"/>
      <c r="AA37" s="80"/>
      <c r="AB37" s="77"/>
      <c r="AC37" s="79"/>
      <c r="AD37" s="78">
        <v>500</v>
      </c>
      <c r="AE37" s="116"/>
      <c r="AF37" s="78"/>
      <c r="AG37" s="78">
        <v>500</v>
      </c>
      <c r="AH37" s="80"/>
      <c r="AI37" s="78">
        <v>500</v>
      </c>
      <c r="AJ37" s="78"/>
      <c r="AK37" s="78"/>
      <c r="AL37" s="78"/>
      <c r="AM37" s="80"/>
    </row>
    <row r="38" spans="1:39" x14ac:dyDescent="0.25">
      <c r="A38" s="197" t="s">
        <v>100</v>
      </c>
      <c r="B38" s="60">
        <v>8300</v>
      </c>
      <c r="C38" s="41">
        <v>8300</v>
      </c>
      <c r="D38" s="44">
        <v>8300</v>
      </c>
      <c r="E38" s="46">
        <v>8300</v>
      </c>
      <c r="F38" s="44">
        <v>8400</v>
      </c>
      <c r="G38" s="44">
        <v>8400</v>
      </c>
      <c r="H38" s="44">
        <v>7500</v>
      </c>
      <c r="I38" s="44">
        <v>7500</v>
      </c>
      <c r="J38" s="44">
        <v>5500</v>
      </c>
      <c r="K38" s="44">
        <v>8400</v>
      </c>
      <c r="L38" s="44">
        <v>9800</v>
      </c>
      <c r="M38" s="44">
        <v>10400</v>
      </c>
      <c r="N38" s="45">
        <v>8400</v>
      </c>
      <c r="O38" s="44">
        <v>8400</v>
      </c>
      <c r="P38" s="44">
        <v>8400</v>
      </c>
      <c r="Q38" s="44">
        <v>8400</v>
      </c>
      <c r="R38" s="44">
        <v>8400</v>
      </c>
      <c r="S38" s="44">
        <v>8400</v>
      </c>
      <c r="T38" s="44">
        <v>8400</v>
      </c>
      <c r="U38" s="200">
        <v>8400</v>
      </c>
      <c r="V38" s="41">
        <v>7600</v>
      </c>
      <c r="W38" s="44">
        <v>9900</v>
      </c>
      <c r="X38" s="44">
        <v>9900</v>
      </c>
      <c r="Y38" s="44">
        <v>9900</v>
      </c>
      <c r="Z38" s="44">
        <v>9900</v>
      </c>
      <c r="AA38" s="45">
        <v>9900</v>
      </c>
      <c r="AB38" s="41">
        <v>8000</v>
      </c>
      <c r="AC38" s="44">
        <v>8000</v>
      </c>
      <c r="AD38" s="44">
        <v>8000</v>
      </c>
      <c r="AE38" s="44">
        <v>8000</v>
      </c>
      <c r="AF38" s="44">
        <v>8000</v>
      </c>
      <c r="AG38" s="44">
        <v>8000</v>
      </c>
      <c r="AH38" s="45">
        <v>8000</v>
      </c>
      <c r="AI38" s="46">
        <v>9500</v>
      </c>
      <c r="AJ38" s="44">
        <v>9500</v>
      </c>
      <c r="AK38" s="44">
        <v>9500</v>
      </c>
      <c r="AL38" s="44">
        <v>9500</v>
      </c>
      <c r="AM38" s="45">
        <v>9500</v>
      </c>
    </row>
    <row r="39" spans="1:39" ht="15.75" thickBot="1" x14ac:dyDescent="0.3">
      <c r="A39" s="113" t="s">
        <v>74</v>
      </c>
      <c r="B39" s="63"/>
      <c r="C39" s="49">
        <v>12000</v>
      </c>
      <c r="D39" s="51"/>
      <c r="E39" s="65"/>
      <c r="F39" s="51">
        <v>13600</v>
      </c>
      <c r="G39" s="51"/>
      <c r="H39" s="51"/>
      <c r="I39" s="51">
        <v>13000</v>
      </c>
      <c r="J39" s="51"/>
      <c r="K39" s="51"/>
      <c r="L39" s="51">
        <v>10000</v>
      </c>
      <c r="M39" s="51"/>
      <c r="N39" s="64"/>
      <c r="O39" s="49">
        <v>14400</v>
      </c>
      <c r="P39" s="51"/>
      <c r="Q39" s="51"/>
      <c r="R39" s="51">
        <v>16000</v>
      </c>
      <c r="S39" s="51"/>
      <c r="T39" s="65"/>
      <c r="U39" s="90">
        <v>16000</v>
      </c>
      <c r="V39" s="49"/>
      <c r="W39" s="51"/>
      <c r="X39" s="51">
        <v>16000</v>
      </c>
      <c r="Y39" s="51"/>
      <c r="Z39" s="51"/>
      <c r="AA39" s="64">
        <v>18300</v>
      </c>
      <c r="AB39" s="56">
        <v>2300</v>
      </c>
      <c r="AC39" s="57">
        <v>2300</v>
      </c>
      <c r="AD39" s="57">
        <v>15000</v>
      </c>
      <c r="AE39" s="57"/>
      <c r="AF39" s="59"/>
      <c r="AG39" s="57">
        <v>15000</v>
      </c>
      <c r="AH39" s="58"/>
      <c r="AI39" s="65"/>
      <c r="AJ39" s="51">
        <v>18000</v>
      </c>
      <c r="AK39" s="51"/>
      <c r="AL39" s="51"/>
      <c r="AM39" s="64">
        <v>18000</v>
      </c>
    </row>
    <row r="40" spans="1:39" x14ac:dyDescent="0.25">
      <c r="A40" s="104" t="s">
        <v>75</v>
      </c>
      <c r="B40" s="60"/>
      <c r="C40" s="41"/>
      <c r="D40" s="44"/>
      <c r="E40" s="46">
        <v>500</v>
      </c>
      <c r="F40" s="44">
        <v>500</v>
      </c>
      <c r="G40" s="44"/>
      <c r="H40" s="44"/>
      <c r="I40" s="44"/>
      <c r="J40" s="44"/>
      <c r="K40" s="44">
        <v>14000</v>
      </c>
      <c r="L40" s="44">
        <v>12000</v>
      </c>
      <c r="M40" s="44">
        <v>9000</v>
      </c>
      <c r="N40" s="45">
        <v>3000</v>
      </c>
      <c r="O40" s="41">
        <v>2000</v>
      </c>
      <c r="P40" s="44"/>
      <c r="Q40" s="44">
        <v>500</v>
      </c>
      <c r="R40" s="44">
        <v>500</v>
      </c>
      <c r="S40" s="44"/>
      <c r="T40" s="46"/>
      <c r="U40" s="200"/>
      <c r="V40" s="41"/>
      <c r="W40" s="44">
        <v>26000</v>
      </c>
      <c r="X40" s="44">
        <v>7000</v>
      </c>
      <c r="Y40" s="44">
        <v>5000</v>
      </c>
      <c r="Z40" s="44">
        <v>3000</v>
      </c>
      <c r="AA40" s="45"/>
      <c r="AB40" s="41">
        <v>1000</v>
      </c>
      <c r="AC40" s="44"/>
      <c r="AD40" s="44">
        <v>1000</v>
      </c>
      <c r="AE40" s="44"/>
      <c r="AF40" s="46"/>
      <c r="AG40" s="44"/>
      <c r="AH40" s="45">
        <v>4000</v>
      </c>
      <c r="AI40" s="44">
        <v>22000</v>
      </c>
      <c r="AJ40" s="44">
        <v>8000</v>
      </c>
      <c r="AK40" s="44">
        <v>5000</v>
      </c>
      <c r="AL40" s="44">
        <v>3000</v>
      </c>
      <c r="AM40" s="45"/>
    </row>
    <row r="41" spans="1:39" ht="15.75" thickBot="1" x14ac:dyDescent="0.3">
      <c r="A41" s="114" t="s">
        <v>76</v>
      </c>
      <c r="B41" s="55"/>
      <c r="C41" s="56"/>
      <c r="D41" s="57"/>
      <c r="E41" s="59"/>
      <c r="F41" s="57"/>
      <c r="G41" s="57"/>
      <c r="H41" s="57"/>
      <c r="I41" s="57"/>
      <c r="J41" s="57"/>
      <c r="K41" s="57">
        <v>4000</v>
      </c>
      <c r="L41" s="57"/>
      <c r="M41" s="57">
        <v>2000</v>
      </c>
      <c r="N41" s="58"/>
      <c r="O41" s="56"/>
      <c r="P41" s="57"/>
      <c r="Q41" s="57"/>
      <c r="R41" s="57"/>
      <c r="S41" s="57"/>
      <c r="T41" s="59"/>
      <c r="U41" s="94"/>
      <c r="V41" s="56"/>
      <c r="W41" s="57">
        <v>2500</v>
      </c>
      <c r="X41" s="57"/>
      <c r="Y41" s="57"/>
      <c r="Z41" s="57"/>
      <c r="AA41" s="58"/>
      <c r="AB41" s="56"/>
      <c r="AC41" s="57"/>
      <c r="AD41" s="57"/>
      <c r="AE41" s="57"/>
      <c r="AF41" s="59"/>
      <c r="AG41" s="57"/>
      <c r="AH41" s="58"/>
      <c r="AI41" s="57">
        <v>2500</v>
      </c>
      <c r="AJ41" s="57"/>
      <c r="AK41" s="57"/>
      <c r="AL41" s="57"/>
      <c r="AM41" s="58"/>
    </row>
    <row r="42" spans="1:39" x14ac:dyDescent="0.25">
      <c r="A42" s="117" t="s">
        <v>77</v>
      </c>
      <c r="B42" s="118"/>
      <c r="C42" s="119"/>
      <c r="D42" s="120"/>
      <c r="E42" s="121"/>
      <c r="F42" s="120"/>
      <c r="G42" s="120"/>
      <c r="H42" s="120"/>
      <c r="I42" s="120">
        <v>250</v>
      </c>
      <c r="J42" s="120">
        <v>250</v>
      </c>
      <c r="K42" s="120">
        <v>250</v>
      </c>
      <c r="L42" s="120">
        <v>250</v>
      </c>
      <c r="M42" s="120">
        <v>250</v>
      </c>
      <c r="N42" s="122">
        <v>250</v>
      </c>
      <c r="O42" s="119">
        <v>250</v>
      </c>
      <c r="P42" s="120">
        <v>250</v>
      </c>
      <c r="Q42" s="120">
        <v>250</v>
      </c>
      <c r="R42" s="120">
        <v>250</v>
      </c>
      <c r="S42" s="120">
        <v>250</v>
      </c>
      <c r="T42" s="120">
        <v>250</v>
      </c>
      <c r="U42" s="222">
        <v>250</v>
      </c>
      <c r="V42" s="119">
        <v>250</v>
      </c>
      <c r="W42" s="120">
        <v>250</v>
      </c>
      <c r="X42" s="120">
        <v>250</v>
      </c>
      <c r="Y42" s="120">
        <v>250</v>
      </c>
      <c r="Z42" s="120">
        <v>250</v>
      </c>
      <c r="AA42" s="122">
        <v>250</v>
      </c>
      <c r="AB42" s="119">
        <v>250</v>
      </c>
      <c r="AC42" s="120">
        <v>250</v>
      </c>
      <c r="AD42" s="120">
        <v>250</v>
      </c>
      <c r="AE42" s="120">
        <v>250</v>
      </c>
      <c r="AF42" s="120">
        <v>250</v>
      </c>
      <c r="AG42" s="120">
        <v>250</v>
      </c>
      <c r="AH42" s="122">
        <v>250</v>
      </c>
      <c r="AI42" s="120">
        <v>250</v>
      </c>
      <c r="AJ42" s="120">
        <v>250</v>
      </c>
      <c r="AK42" s="120">
        <v>250</v>
      </c>
      <c r="AL42" s="120">
        <v>250</v>
      </c>
      <c r="AM42" s="122">
        <v>250</v>
      </c>
    </row>
    <row r="43" spans="1:39" ht="15.75" thickBot="1" x14ac:dyDescent="0.3">
      <c r="A43" s="114" t="s">
        <v>78</v>
      </c>
      <c r="B43" s="55"/>
      <c r="C43" s="56">
        <v>750</v>
      </c>
      <c r="D43" s="57">
        <v>750</v>
      </c>
      <c r="E43" s="59">
        <v>750</v>
      </c>
      <c r="F43" s="57">
        <v>750</v>
      </c>
      <c r="G43" s="57">
        <v>750</v>
      </c>
      <c r="H43" s="57">
        <v>750</v>
      </c>
      <c r="I43" s="57">
        <v>750</v>
      </c>
      <c r="J43" s="57">
        <v>750</v>
      </c>
      <c r="K43" s="57">
        <v>750</v>
      </c>
      <c r="L43" s="57">
        <v>750</v>
      </c>
      <c r="M43" s="57">
        <v>750</v>
      </c>
      <c r="N43" s="58">
        <v>750</v>
      </c>
      <c r="O43" s="56">
        <v>750</v>
      </c>
      <c r="P43" s="57">
        <v>750</v>
      </c>
      <c r="Q43" s="59">
        <v>750</v>
      </c>
      <c r="R43" s="57">
        <v>750</v>
      </c>
      <c r="S43" s="57">
        <v>750</v>
      </c>
      <c r="T43" s="57">
        <v>750</v>
      </c>
      <c r="U43" s="94">
        <v>750</v>
      </c>
      <c r="V43" s="56">
        <v>750</v>
      </c>
      <c r="W43" s="57">
        <v>750</v>
      </c>
      <c r="X43" s="57">
        <v>750</v>
      </c>
      <c r="Y43" s="57">
        <v>750</v>
      </c>
      <c r="Z43" s="57">
        <v>750</v>
      </c>
      <c r="AA43" s="58">
        <v>750</v>
      </c>
      <c r="AB43" s="56">
        <v>750</v>
      </c>
      <c r="AC43" s="59">
        <v>750</v>
      </c>
      <c r="AD43" s="57">
        <v>750</v>
      </c>
      <c r="AE43" s="57">
        <v>750</v>
      </c>
      <c r="AF43" s="57">
        <v>750</v>
      </c>
      <c r="AG43" s="57">
        <v>750</v>
      </c>
      <c r="AH43" s="58">
        <v>750</v>
      </c>
      <c r="AI43" s="57">
        <v>750</v>
      </c>
      <c r="AJ43" s="57">
        <v>750</v>
      </c>
      <c r="AK43" s="57">
        <v>750</v>
      </c>
      <c r="AL43" s="57">
        <v>750</v>
      </c>
      <c r="AM43" s="58">
        <v>750</v>
      </c>
    </row>
    <row r="44" spans="1:39" ht="15.75" thickBot="1" x14ac:dyDescent="0.3">
      <c r="A44" s="100"/>
      <c r="B44" s="101">
        <f t="shared" ref="B44:AH44" si="1">SUM(B26:B43)</f>
        <v>8300</v>
      </c>
      <c r="C44" s="123">
        <f t="shared" si="1"/>
        <v>22790</v>
      </c>
      <c r="D44" s="123">
        <f t="shared" si="1"/>
        <v>18720</v>
      </c>
      <c r="E44" s="123">
        <f t="shared" si="1"/>
        <v>20300</v>
      </c>
      <c r="F44" s="123">
        <f t="shared" si="1"/>
        <v>27900</v>
      </c>
      <c r="G44" s="123">
        <f t="shared" si="1"/>
        <v>13140</v>
      </c>
      <c r="H44" s="123">
        <f t="shared" si="1"/>
        <v>18950</v>
      </c>
      <c r="I44" s="123">
        <f t="shared" si="1"/>
        <v>42610</v>
      </c>
      <c r="J44" s="123">
        <f t="shared" si="1"/>
        <v>11400</v>
      </c>
      <c r="K44" s="123">
        <f t="shared" si="1"/>
        <v>30350</v>
      </c>
      <c r="L44" s="123">
        <f t="shared" si="1"/>
        <v>49800</v>
      </c>
      <c r="M44" s="123">
        <f t="shared" si="1"/>
        <v>29600</v>
      </c>
      <c r="N44" s="123">
        <f t="shared" si="1"/>
        <v>19900</v>
      </c>
      <c r="O44" s="123">
        <f t="shared" si="1"/>
        <v>37150</v>
      </c>
      <c r="P44" s="123">
        <f t="shared" si="1"/>
        <v>14620</v>
      </c>
      <c r="Q44" s="123">
        <f t="shared" si="1"/>
        <v>15650</v>
      </c>
      <c r="R44" s="123">
        <f t="shared" si="1"/>
        <v>32250</v>
      </c>
      <c r="S44" s="123">
        <f t="shared" si="1"/>
        <v>20490</v>
      </c>
      <c r="T44" s="123">
        <f t="shared" si="1"/>
        <v>19650</v>
      </c>
      <c r="U44" s="101">
        <f t="shared" si="1"/>
        <v>46710</v>
      </c>
      <c r="V44" s="123">
        <f t="shared" si="1"/>
        <v>16550</v>
      </c>
      <c r="W44" s="123">
        <f t="shared" si="1"/>
        <v>46350</v>
      </c>
      <c r="X44" s="123">
        <f t="shared" si="1"/>
        <v>41850</v>
      </c>
      <c r="Y44" s="123">
        <f t="shared" si="1"/>
        <v>26150</v>
      </c>
      <c r="Z44" s="123">
        <f t="shared" si="1"/>
        <v>24250</v>
      </c>
      <c r="AA44" s="124">
        <f t="shared" si="1"/>
        <v>37450</v>
      </c>
      <c r="AB44" s="123">
        <f t="shared" si="1"/>
        <v>19020</v>
      </c>
      <c r="AC44" s="123">
        <f t="shared" si="1"/>
        <v>22950</v>
      </c>
      <c r="AD44" s="123">
        <f t="shared" si="1"/>
        <v>47350</v>
      </c>
      <c r="AE44" s="123">
        <f t="shared" si="1"/>
        <v>16990</v>
      </c>
      <c r="AF44" s="123">
        <f t="shared" si="1"/>
        <v>19250</v>
      </c>
      <c r="AG44" s="123">
        <f t="shared" si="1"/>
        <v>46550</v>
      </c>
      <c r="AH44" s="124">
        <f t="shared" si="1"/>
        <v>20950</v>
      </c>
      <c r="AI44" s="123">
        <f>SUM(AI26:AI43)</f>
        <v>42650</v>
      </c>
      <c r="AJ44" s="123">
        <f>SUM(AJ26:AJ43)</f>
        <v>43950</v>
      </c>
      <c r="AK44" s="123">
        <f>SUM(AK26:AK43)</f>
        <v>24150</v>
      </c>
      <c r="AL44" s="123">
        <f>SUM(AL26:AL43)</f>
        <v>23850</v>
      </c>
      <c r="AM44" s="124">
        <f>SUM(AM26:AM43)</f>
        <v>36650</v>
      </c>
    </row>
    <row r="45" spans="1:39" ht="15.75" thickBot="1" x14ac:dyDescent="0.3">
      <c r="A45" s="125"/>
      <c r="B45" s="126"/>
      <c r="C45" s="100"/>
      <c r="D45" s="127"/>
      <c r="E45" s="127"/>
      <c r="F45" s="127"/>
      <c r="G45" s="127"/>
      <c r="H45" s="127"/>
      <c r="I45" s="127"/>
      <c r="J45" s="127"/>
      <c r="K45" s="127"/>
      <c r="L45" s="127"/>
      <c r="M45" s="127"/>
      <c r="N45" s="128"/>
      <c r="O45" s="42"/>
      <c r="P45" s="127"/>
      <c r="Q45" s="127"/>
      <c r="R45" s="127"/>
      <c r="S45" s="149" t="s">
        <v>37</v>
      </c>
      <c r="T45" s="127"/>
      <c r="U45" s="127"/>
      <c r="V45" s="100"/>
      <c r="W45" s="127"/>
      <c r="X45" s="127"/>
      <c r="Y45" s="127"/>
      <c r="Z45" s="127"/>
      <c r="AA45" s="128"/>
      <c r="AB45" s="153"/>
      <c r="AH45" s="152"/>
      <c r="AI45" s="127"/>
      <c r="AJ45" s="127"/>
      <c r="AK45" s="127"/>
      <c r="AL45" s="127"/>
      <c r="AM45" s="128"/>
    </row>
    <row r="46" spans="1:39" ht="15.75" thickBot="1" x14ac:dyDescent="0.3">
      <c r="A46" s="129" t="s">
        <v>28</v>
      </c>
      <c r="B46" s="130">
        <f>B48+B49+B50-B44</f>
        <v>23425</v>
      </c>
      <c r="C46" s="130">
        <f t="shared" ref="C46:AH46" si="2">B46-C44+C23</f>
        <v>55135</v>
      </c>
      <c r="D46" s="130">
        <f t="shared" si="2"/>
        <v>39415</v>
      </c>
      <c r="E46" s="130">
        <f t="shared" si="2"/>
        <v>20615</v>
      </c>
      <c r="F46" s="130">
        <f t="shared" si="2"/>
        <v>-3085</v>
      </c>
      <c r="G46" s="130">
        <f t="shared" si="2"/>
        <v>975</v>
      </c>
      <c r="H46" s="130">
        <f t="shared" si="2"/>
        <v>8025</v>
      </c>
      <c r="I46" s="130">
        <f t="shared" si="2"/>
        <v>12515</v>
      </c>
      <c r="J46" s="130">
        <f t="shared" si="2"/>
        <v>30615</v>
      </c>
      <c r="K46" s="130">
        <f t="shared" si="2"/>
        <v>41765</v>
      </c>
      <c r="L46" s="130">
        <f t="shared" si="2"/>
        <v>27465</v>
      </c>
      <c r="M46" s="130">
        <f t="shared" si="2"/>
        <v>39585</v>
      </c>
      <c r="N46" s="130">
        <f t="shared" si="2"/>
        <v>40285</v>
      </c>
      <c r="O46" s="130">
        <f t="shared" si="2"/>
        <v>97335</v>
      </c>
      <c r="P46" s="130">
        <f t="shared" si="2"/>
        <v>94915</v>
      </c>
      <c r="Q46" s="130">
        <f t="shared" si="2"/>
        <v>85465</v>
      </c>
      <c r="R46" s="130">
        <f t="shared" si="2"/>
        <v>56415</v>
      </c>
      <c r="S46" s="130">
        <f t="shared" si="2"/>
        <v>45125</v>
      </c>
      <c r="T46" s="130">
        <f t="shared" si="2"/>
        <v>37075</v>
      </c>
      <c r="U46" s="130">
        <f t="shared" si="2"/>
        <v>28865</v>
      </c>
      <c r="V46" s="130">
        <f t="shared" si="2"/>
        <v>34815</v>
      </c>
      <c r="W46" s="130">
        <f t="shared" si="2"/>
        <v>45265</v>
      </c>
      <c r="X46" s="130">
        <f t="shared" si="2"/>
        <v>50665</v>
      </c>
      <c r="Y46" s="130">
        <f t="shared" si="2"/>
        <v>103615</v>
      </c>
      <c r="Z46" s="130">
        <f t="shared" si="2"/>
        <v>89465</v>
      </c>
      <c r="AA46" s="131">
        <f t="shared" si="2"/>
        <v>62615</v>
      </c>
      <c r="AB46" s="131">
        <f t="shared" si="2"/>
        <v>52795</v>
      </c>
      <c r="AC46" s="131">
        <f>AB46-AC44+AC23</f>
        <v>101195</v>
      </c>
      <c r="AD46" s="131">
        <f t="shared" si="2"/>
        <v>61545</v>
      </c>
      <c r="AE46" s="131">
        <f t="shared" si="2"/>
        <v>50155</v>
      </c>
      <c r="AF46" s="131">
        <f t="shared" si="2"/>
        <v>44905</v>
      </c>
      <c r="AG46" s="131">
        <f t="shared" si="2"/>
        <v>46005</v>
      </c>
      <c r="AH46" s="131">
        <f t="shared" si="2"/>
        <v>41455</v>
      </c>
      <c r="AI46" s="130">
        <f>AH46-AI44+AI23</f>
        <v>53605</v>
      </c>
      <c r="AJ46" s="130">
        <f>AI46-AJ44+AJ23</f>
        <v>52405</v>
      </c>
      <c r="AK46" s="130">
        <f>AJ46-AK44+AK23</f>
        <v>108255</v>
      </c>
      <c r="AL46" s="130">
        <f>AK46-AL44+AL23</f>
        <v>95905</v>
      </c>
      <c r="AM46" s="131">
        <f>AL46-AM44+AM23</f>
        <v>75755</v>
      </c>
    </row>
    <row r="47" spans="1:39" ht="15.75" thickBot="1" x14ac:dyDescent="0.3"/>
    <row r="48" spans="1:39" x14ac:dyDescent="0.25">
      <c r="A48" s="132" t="s">
        <v>79</v>
      </c>
      <c r="B48" s="133">
        <v>30155</v>
      </c>
    </row>
    <row r="49" spans="1:2" x14ac:dyDescent="0.25">
      <c r="A49" s="134" t="s">
        <v>80</v>
      </c>
      <c r="B49" s="135">
        <v>1550</v>
      </c>
    </row>
    <row r="50" spans="1:2" ht="15.75" thickBot="1" x14ac:dyDescent="0.3">
      <c r="A50" s="136" t="s">
        <v>63</v>
      </c>
      <c r="B50" s="137">
        <v>20</v>
      </c>
    </row>
    <row r="66" spans="10:38" ht="15.75" thickBot="1" x14ac:dyDescent="0.3"/>
    <row r="67" spans="10:38" ht="15.75" thickBot="1" x14ac:dyDescent="0.3">
      <c r="J67" s="745" t="s">
        <v>81</v>
      </c>
      <c r="K67" s="746"/>
      <c r="L67" s="746"/>
      <c r="M67" s="746"/>
      <c r="N67" s="747"/>
      <c r="P67" s="745" t="s">
        <v>81</v>
      </c>
      <c r="Q67" s="746"/>
      <c r="R67" s="746"/>
      <c r="S67" s="746"/>
      <c r="T67" s="747"/>
      <c r="V67" s="745" t="s">
        <v>81</v>
      </c>
      <c r="W67" s="746"/>
      <c r="X67" s="746"/>
      <c r="Y67" s="746"/>
      <c r="Z67" s="747"/>
      <c r="AB67" s="745" t="s">
        <v>81</v>
      </c>
      <c r="AC67" s="746"/>
      <c r="AD67" s="746"/>
      <c r="AE67" s="746"/>
      <c r="AF67" s="747"/>
    </row>
    <row r="68" spans="10:38" ht="15.75" thickBot="1" x14ac:dyDescent="0.3">
      <c r="J68" s="139" t="s">
        <v>82</v>
      </c>
      <c r="K68" s="140" t="s">
        <v>83</v>
      </c>
      <c r="L68" s="140" t="s">
        <v>84</v>
      </c>
      <c r="M68" s="141" t="s">
        <v>85</v>
      </c>
      <c r="N68" s="142" t="s">
        <v>28</v>
      </c>
      <c r="P68" s="139" t="s">
        <v>82</v>
      </c>
      <c r="Q68" s="140" t="s">
        <v>83</v>
      </c>
      <c r="R68" s="140" t="s">
        <v>84</v>
      </c>
      <c r="S68" s="141" t="s">
        <v>85</v>
      </c>
      <c r="T68" s="142" t="s">
        <v>28</v>
      </c>
      <c r="V68" s="139" t="s">
        <v>82</v>
      </c>
      <c r="W68" s="140" t="s">
        <v>83</v>
      </c>
      <c r="X68" s="140" t="s">
        <v>84</v>
      </c>
      <c r="Y68" s="141" t="s">
        <v>85</v>
      </c>
      <c r="Z68" s="142" t="s">
        <v>28</v>
      </c>
      <c r="AB68" s="139" t="s">
        <v>82</v>
      </c>
      <c r="AC68" s="140" t="s">
        <v>83</v>
      </c>
      <c r="AD68" s="140" t="s">
        <v>84</v>
      </c>
      <c r="AE68" s="141" t="s">
        <v>85</v>
      </c>
      <c r="AF68" s="142" t="s">
        <v>28</v>
      </c>
      <c r="AI68" s="140" t="s">
        <v>83</v>
      </c>
      <c r="AJ68" s="140" t="s">
        <v>84</v>
      </c>
      <c r="AK68" s="141" t="s">
        <v>85</v>
      </c>
      <c r="AL68" s="142" t="s">
        <v>28</v>
      </c>
    </row>
    <row r="69" spans="10:38" x14ac:dyDescent="0.25">
      <c r="J69" s="159" t="s">
        <v>30</v>
      </c>
      <c r="K69" s="160">
        <v>6.5</v>
      </c>
      <c r="L69" s="160">
        <v>52</v>
      </c>
      <c r="M69" s="161">
        <v>20</v>
      </c>
      <c r="N69" s="162">
        <f>K69*L69*M69</f>
        <v>6760</v>
      </c>
      <c r="O69" s="150" t="s">
        <v>89</v>
      </c>
      <c r="P69" s="159" t="s">
        <v>30</v>
      </c>
      <c r="Q69" s="160">
        <v>6.5</v>
      </c>
      <c r="R69" s="160">
        <v>52</v>
      </c>
      <c r="S69" s="161">
        <v>20</v>
      </c>
      <c r="T69" s="162">
        <f>Q69*R69*S69</f>
        <v>6760</v>
      </c>
      <c r="V69" s="159" t="s">
        <v>30</v>
      </c>
      <c r="W69" s="160">
        <v>6.5</v>
      </c>
      <c r="X69" s="160">
        <v>52</v>
      </c>
      <c r="Y69" s="161">
        <v>20</v>
      </c>
      <c r="Z69" s="162">
        <f>W69*X69*Y69</f>
        <v>6760</v>
      </c>
      <c r="AB69" s="159" t="s">
        <v>30</v>
      </c>
      <c r="AC69" s="160">
        <v>6.5</v>
      </c>
      <c r="AD69" s="160">
        <v>52</v>
      </c>
      <c r="AE69" s="161">
        <v>20</v>
      </c>
      <c r="AF69" s="162">
        <f>AC69*AD69*AE69</f>
        <v>6760</v>
      </c>
      <c r="AI69" s="160">
        <v>6.5</v>
      </c>
      <c r="AJ69" s="160">
        <v>52</v>
      </c>
      <c r="AK69" s="161">
        <v>20</v>
      </c>
      <c r="AL69" s="162">
        <f>AI69*AJ69*AK69</f>
        <v>6760</v>
      </c>
    </row>
    <row r="70" spans="10:38" x14ac:dyDescent="0.25">
      <c r="J70" s="163" t="s">
        <v>29</v>
      </c>
      <c r="K70" s="164">
        <v>3</v>
      </c>
      <c r="L70" s="164">
        <v>52</v>
      </c>
      <c r="M70" s="165">
        <v>20</v>
      </c>
      <c r="N70" s="166">
        <f>K70*L70*M70</f>
        <v>3120</v>
      </c>
      <c r="O70" s="158" t="s">
        <v>89</v>
      </c>
      <c r="P70" s="163" t="s">
        <v>29</v>
      </c>
      <c r="Q70" s="164">
        <v>3</v>
      </c>
      <c r="R70" s="164">
        <v>52</v>
      </c>
      <c r="S70" s="165">
        <v>20</v>
      </c>
      <c r="T70" s="166">
        <f>Q70*R70*S70</f>
        <v>3120</v>
      </c>
      <c r="V70" s="163" t="s">
        <v>29</v>
      </c>
      <c r="W70" s="164">
        <v>3</v>
      </c>
      <c r="X70" s="164">
        <v>52</v>
      </c>
      <c r="Y70" s="165">
        <v>20</v>
      </c>
      <c r="Z70" s="166">
        <f>W70*X70*Y70</f>
        <v>3120</v>
      </c>
      <c r="AB70" s="163" t="s">
        <v>29</v>
      </c>
      <c r="AC70" s="164">
        <v>3</v>
      </c>
      <c r="AD70" s="164">
        <v>52</v>
      </c>
      <c r="AE70" s="165">
        <v>20</v>
      </c>
      <c r="AF70" s="166">
        <f>AC70*AD70*AE70</f>
        <v>3120</v>
      </c>
      <c r="AI70" s="164">
        <v>3</v>
      </c>
      <c r="AJ70" s="164">
        <v>52</v>
      </c>
      <c r="AK70" s="165">
        <v>20</v>
      </c>
      <c r="AL70" s="166">
        <f>AI70*AJ70*AK70</f>
        <v>3120</v>
      </c>
    </row>
    <row r="71" spans="10:38" x14ac:dyDescent="0.25">
      <c r="J71" s="134" t="s">
        <v>86</v>
      </c>
      <c r="K71" s="164">
        <v>7.5</v>
      </c>
      <c r="L71" s="164">
        <v>52</v>
      </c>
      <c r="M71" s="165">
        <v>20</v>
      </c>
      <c r="N71" s="166">
        <f>K71*L71*M71</f>
        <v>7800</v>
      </c>
      <c r="O71" s="150" t="s">
        <v>89</v>
      </c>
      <c r="P71" s="134" t="s">
        <v>86</v>
      </c>
      <c r="Q71" s="164">
        <v>7.5</v>
      </c>
      <c r="R71" s="164">
        <v>52</v>
      </c>
      <c r="S71" s="165">
        <v>20</v>
      </c>
      <c r="T71" s="166">
        <f>Q71*R71*S71</f>
        <v>7800</v>
      </c>
      <c r="V71" s="134" t="s">
        <v>86</v>
      </c>
      <c r="W71" s="164">
        <v>7.5</v>
      </c>
      <c r="X71" s="164">
        <v>52</v>
      </c>
      <c r="Y71" s="165">
        <v>20</v>
      </c>
      <c r="Z71" s="166">
        <f>W71*X71*Y71</f>
        <v>7800</v>
      </c>
      <c r="AB71" s="134" t="s">
        <v>86</v>
      </c>
      <c r="AC71" s="164">
        <v>7.5</v>
      </c>
      <c r="AD71" s="164">
        <v>52</v>
      </c>
      <c r="AE71" s="165">
        <v>20</v>
      </c>
      <c r="AF71" s="166">
        <f>AC71*AD71*AE71</f>
        <v>7800</v>
      </c>
      <c r="AI71" s="164">
        <v>7.5</v>
      </c>
      <c r="AJ71" s="164">
        <v>52</v>
      </c>
      <c r="AK71" s="165">
        <v>20</v>
      </c>
      <c r="AL71" s="166">
        <f>AI71*AJ71*AK71</f>
        <v>7800</v>
      </c>
    </row>
    <row r="72" spans="10:38" ht="15.75" thickBot="1" x14ac:dyDescent="0.3">
      <c r="J72" s="154"/>
      <c r="K72" s="155"/>
      <c r="L72" s="155"/>
      <c r="M72" s="156"/>
      <c r="N72" s="157"/>
      <c r="P72" s="154"/>
      <c r="Q72" s="155"/>
      <c r="R72" s="155"/>
      <c r="S72" s="156"/>
      <c r="T72" s="157"/>
      <c r="V72" s="154"/>
      <c r="W72" s="155"/>
      <c r="X72" s="155"/>
      <c r="Y72" s="156"/>
      <c r="Z72" s="157"/>
      <c r="AB72" s="154"/>
      <c r="AC72" s="155"/>
      <c r="AD72" s="155"/>
      <c r="AE72" s="156"/>
      <c r="AF72" s="157"/>
      <c r="AI72" s="155"/>
      <c r="AJ72" s="155"/>
      <c r="AK72" s="156"/>
      <c r="AL72" s="157"/>
    </row>
    <row r="73" spans="10:38" x14ac:dyDescent="0.25">
      <c r="J73" s="146"/>
      <c r="K73" s="42">
        <f>SUM(K69:K72)</f>
        <v>17</v>
      </c>
      <c r="L73" s="42"/>
      <c r="M73" s="42"/>
      <c r="N73" s="147"/>
      <c r="P73" s="146"/>
      <c r="Q73" s="42">
        <f>SUM(Q69:Q72)</f>
        <v>17</v>
      </c>
      <c r="R73" s="42"/>
      <c r="S73" s="42"/>
      <c r="T73" s="147"/>
      <c r="V73" s="146"/>
      <c r="W73" s="42">
        <f>SUM(W69:W72)</f>
        <v>17</v>
      </c>
      <c r="X73" s="42"/>
      <c r="Y73" s="42"/>
      <c r="Z73" s="147"/>
      <c r="AB73" s="146"/>
      <c r="AC73" s="42">
        <f>SUM(AC69:AC72)</f>
        <v>17</v>
      </c>
      <c r="AD73" s="42"/>
      <c r="AE73" s="42"/>
      <c r="AF73" s="147"/>
      <c r="AI73" s="42">
        <f>SUM(AI69:AI72)</f>
        <v>17</v>
      </c>
      <c r="AJ73" s="42"/>
      <c r="AK73" s="42"/>
      <c r="AL73" s="147"/>
    </row>
    <row r="74" spans="10:38" x14ac:dyDescent="0.25">
      <c r="J74" s="151" t="s">
        <v>90</v>
      </c>
      <c r="N74" s="152">
        <v>7000</v>
      </c>
      <c r="P74" s="151" t="s">
        <v>90</v>
      </c>
      <c r="T74" s="152">
        <v>7000</v>
      </c>
      <c r="V74" s="151" t="s">
        <v>90</v>
      </c>
      <c r="Z74" s="152">
        <v>7000</v>
      </c>
      <c r="AB74" s="151" t="s">
        <v>90</v>
      </c>
      <c r="AF74" s="152">
        <v>3000</v>
      </c>
      <c r="AL74" s="152">
        <v>7000</v>
      </c>
    </row>
    <row r="75" spans="10:38" x14ac:dyDescent="0.25">
      <c r="J75" s="151" t="s">
        <v>91</v>
      </c>
      <c r="N75" s="152">
        <v>9800</v>
      </c>
      <c r="P75" s="151" t="s">
        <v>91</v>
      </c>
      <c r="T75" s="152">
        <v>5000</v>
      </c>
      <c r="V75" s="151" t="s">
        <v>91</v>
      </c>
      <c r="Z75" s="152">
        <v>5000</v>
      </c>
      <c r="AB75" s="151" t="s">
        <v>91</v>
      </c>
      <c r="AF75" s="152">
        <v>3000</v>
      </c>
      <c r="AL75" s="152">
        <v>5000</v>
      </c>
    </row>
    <row r="76" spans="10:38" x14ac:dyDescent="0.25">
      <c r="J76" s="151" t="s">
        <v>92</v>
      </c>
      <c r="N76" s="167">
        <v>9000</v>
      </c>
      <c r="P76" s="151" t="s">
        <v>92</v>
      </c>
      <c r="T76" s="152">
        <v>4000</v>
      </c>
      <c r="V76" s="151" t="s">
        <v>92</v>
      </c>
      <c r="Z76" s="152"/>
      <c r="AB76" s="151" t="s">
        <v>92</v>
      </c>
      <c r="AF76" s="152"/>
      <c r="AL76" s="152"/>
    </row>
    <row r="77" spans="10:38" ht="15.75" thickBot="1" x14ac:dyDescent="0.3">
      <c r="J77" s="126"/>
      <c r="K77" s="112"/>
      <c r="L77" s="112"/>
      <c r="M77" s="112"/>
      <c r="N77" s="84"/>
      <c r="P77" s="153"/>
      <c r="T77" s="152"/>
      <c r="V77" s="153"/>
      <c r="Z77" s="152"/>
      <c r="AB77" s="153"/>
      <c r="AF77" s="152"/>
      <c r="AL77" s="152"/>
    </row>
    <row r="78" spans="10:38" ht="15.75" thickBot="1" x14ac:dyDescent="0.3">
      <c r="J78" s="145" t="s">
        <v>87</v>
      </c>
      <c r="K78" s="127"/>
      <c r="L78" s="127"/>
      <c r="M78" s="127"/>
      <c r="N78" s="128">
        <v>25600</v>
      </c>
      <c r="P78" s="145" t="s">
        <v>87</v>
      </c>
      <c r="Q78" s="127"/>
      <c r="R78" s="127"/>
      <c r="S78" s="127"/>
      <c r="T78" s="128">
        <v>25600</v>
      </c>
      <c r="V78" s="145" t="s">
        <v>87</v>
      </c>
      <c r="W78" s="127"/>
      <c r="X78" s="127"/>
      <c r="Y78" s="127"/>
      <c r="Z78" s="128">
        <v>25600</v>
      </c>
      <c r="AB78" s="145" t="s">
        <v>87</v>
      </c>
      <c r="AC78" s="127"/>
      <c r="AD78" s="127"/>
      <c r="AE78" s="127"/>
      <c r="AF78" s="128">
        <v>25600</v>
      </c>
      <c r="AI78" s="127"/>
      <c r="AJ78" s="127"/>
      <c r="AK78" s="127"/>
      <c r="AL78" s="128">
        <v>25600</v>
      </c>
    </row>
    <row r="79" spans="10:38" ht="15.75" thickBot="1" x14ac:dyDescent="0.3">
      <c r="J79" s="143" t="s">
        <v>28</v>
      </c>
      <c r="K79" s="125">
        <f>SUM(K69:K72)</f>
        <v>17</v>
      </c>
      <c r="L79" s="127"/>
      <c r="M79" s="138" t="s">
        <v>28</v>
      </c>
      <c r="N79" s="125">
        <f>SUM(N69:N77)</f>
        <v>43480</v>
      </c>
      <c r="P79" s="143" t="s">
        <v>28</v>
      </c>
      <c r="Q79" s="125">
        <f>SUM(Q69:Q72)</f>
        <v>17</v>
      </c>
      <c r="R79" s="127"/>
      <c r="S79" s="138" t="s">
        <v>28</v>
      </c>
      <c r="T79" s="125">
        <f>SUM(T69:T77)</f>
        <v>33680</v>
      </c>
      <c r="V79" s="143" t="s">
        <v>28</v>
      </c>
      <c r="W79" s="125">
        <f>SUM(W69:W72)</f>
        <v>17</v>
      </c>
      <c r="X79" s="127"/>
      <c r="Y79" s="138" t="s">
        <v>28</v>
      </c>
      <c r="Z79" s="125">
        <f>SUM(Z69:Z77)</f>
        <v>29680</v>
      </c>
      <c r="AB79" s="143" t="s">
        <v>28</v>
      </c>
      <c r="AC79" s="125">
        <f>SUM(AC69:AC72)</f>
        <v>17</v>
      </c>
      <c r="AD79" s="127"/>
      <c r="AE79" s="138" t="s">
        <v>28</v>
      </c>
      <c r="AF79" s="125">
        <f>SUM(AF69:AF77)</f>
        <v>23680</v>
      </c>
      <c r="AI79" s="125">
        <f>SUM(AI69:AI72)</f>
        <v>17</v>
      </c>
      <c r="AJ79" s="127"/>
      <c r="AK79" s="138" t="s">
        <v>28</v>
      </c>
      <c r="AL79" s="125">
        <f>SUM(AL69:AL77)</f>
        <v>29680</v>
      </c>
    </row>
    <row r="80" spans="10:38" x14ac:dyDescent="0.25">
      <c r="J80" s="144" t="s">
        <v>88</v>
      </c>
      <c r="N80" s="148">
        <f>N78-N79</f>
        <v>-17880</v>
      </c>
      <c r="P80" s="144" t="s">
        <v>88</v>
      </c>
      <c r="T80" s="148">
        <f>T78-T79</f>
        <v>-8080</v>
      </c>
      <c r="V80" s="144" t="s">
        <v>88</v>
      </c>
      <c r="Z80" s="148">
        <f>Z78-Z79</f>
        <v>-4080</v>
      </c>
      <c r="AB80" s="144" t="s">
        <v>88</v>
      </c>
      <c r="AF80" s="148">
        <f>AF78-AF79</f>
        <v>1920</v>
      </c>
      <c r="AL80" s="148">
        <f>AL78-AL79</f>
        <v>-4080</v>
      </c>
    </row>
  </sheetData>
  <mergeCells count="4">
    <mergeCell ref="J67:N67"/>
    <mergeCell ref="P67:T67"/>
    <mergeCell ref="V67:Z67"/>
    <mergeCell ref="AB67:AF67"/>
  </mergeCells>
  <phoneticPr fontId="28" type="noConversion"/>
  <printOptions horizontalCentered="1" verticalCentered="1"/>
  <pageMargins left="0" right="0" top="0" bottom="0" header="0" footer="0"/>
  <pageSetup paperSize="8" scale="79" orientation="landscape" r:id="rId1"/>
  <ignoredErrors>
    <ignoredError sqref="D23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42CC48-9266-46EE-802A-376E540E3D16}">
  <sheetPr>
    <pageSetUpPr fitToPage="1"/>
  </sheetPr>
  <dimension ref="A1:D20"/>
  <sheetViews>
    <sheetView topLeftCell="A8" zoomScaleNormal="100" workbookViewId="0">
      <selection sqref="A1:D17"/>
    </sheetView>
  </sheetViews>
  <sheetFormatPr baseColWidth="10" defaultRowHeight="18.75" x14ac:dyDescent="0.2"/>
  <cols>
    <col min="1" max="1" width="60" style="3" bestFit="1" customWidth="1"/>
    <col min="2" max="4" width="13" bestFit="1" customWidth="1"/>
  </cols>
  <sheetData>
    <row r="1" spans="1:4" ht="25.15" customHeight="1" thickBot="1" x14ac:dyDescent="0.25">
      <c r="A1" s="14"/>
      <c r="B1" s="15" t="s">
        <v>34</v>
      </c>
      <c r="C1" s="15" t="s">
        <v>34</v>
      </c>
      <c r="D1" s="15" t="s">
        <v>5</v>
      </c>
    </row>
    <row r="2" spans="1:4" ht="21" thickBot="1" x14ac:dyDescent="0.25">
      <c r="A2" s="12" t="s">
        <v>0</v>
      </c>
      <c r="B2" s="13">
        <v>2024</v>
      </c>
      <c r="C2" s="13">
        <v>2025</v>
      </c>
      <c r="D2" s="13">
        <v>2026</v>
      </c>
    </row>
    <row r="3" spans="1:4" ht="20.25" x14ac:dyDescent="0.2">
      <c r="A3" s="20" t="s">
        <v>22</v>
      </c>
      <c r="B3" s="8">
        <f>'Budget Général CSBJ 2026'!AN10+'Budget Général CSBJ 2026'!AN23+'Budget Général CSBJ 2026'!AN36+'Budget Général CSBJ 2026'!AN63</f>
        <v>83333</v>
      </c>
      <c r="C3" s="8">
        <f>'Budget Général CSBJ 2026'!AV10+'Budget Général CSBJ 2026'!AV23+'Budget Général CSBJ 2026'!AV36</f>
        <v>81226.780000000013</v>
      </c>
      <c r="D3" s="8">
        <f>'Budget Général CSBJ 2026'!BB10+'Budget Général CSBJ 2026'!BB23+'Budget Général CSBJ 2026'!BB36+'Budget Général CSBJ 2026'!BB63</f>
        <v>78850</v>
      </c>
    </row>
    <row r="4" spans="1:4" ht="25.15" customHeight="1" x14ac:dyDescent="0.2">
      <c r="A4" s="21" t="s">
        <v>23</v>
      </c>
      <c r="B4" s="9">
        <f>'Budget Général CSBJ 2026'!AN31</f>
        <v>72513.86</v>
      </c>
      <c r="C4" s="9">
        <f>'Budget Général CSBJ 2026'!AV31</f>
        <v>64534.14</v>
      </c>
      <c r="D4" s="9">
        <f>'Budget Général CSBJ 2026'!BB31</f>
        <v>89300</v>
      </c>
    </row>
    <row r="5" spans="1:4" ht="25.15" customHeight="1" x14ac:dyDescent="0.2">
      <c r="A5" s="21" t="s">
        <v>24</v>
      </c>
      <c r="B5" s="9">
        <f>'Budget Général CSBJ 2026'!AN45</f>
        <v>47340.57</v>
      </c>
      <c r="C5" s="9">
        <f>'Budget Général CSBJ 2026'!AV45</f>
        <v>45580.63</v>
      </c>
      <c r="D5" s="9">
        <f>'Budget Général CSBJ 2026'!BB45</f>
        <v>48550</v>
      </c>
    </row>
    <row r="6" spans="1:4" ht="25.15" customHeight="1" x14ac:dyDescent="0.2">
      <c r="A6" s="21" t="s">
        <v>25</v>
      </c>
      <c r="B6" s="9">
        <f>'Budget Général CSBJ 2026'!AN55</f>
        <v>166919.57999999999</v>
      </c>
      <c r="C6" s="9">
        <f>'Budget Général CSBJ 2026'!AV55</f>
        <v>179258.17999999996</v>
      </c>
      <c r="D6" s="9">
        <f>'Budget Général CSBJ 2026'!BB55</f>
        <v>182500</v>
      </c>
    </row>
    <row r="7" spans="1:4" ht="25.15" customHeight="1" thickBot="1" x14ac:dyDescent="0.25">
      <c r="A7" s="22" t="s">
        <v>201</v>
      </c>
      <c r="B7" s="10">
        <f>'Budget Général CSBJ 2026'!AN66</f>
        <v>25653.79</v>
      </c>
      <c r="C7" s="10">
        <f>'Budget Général CSBJ 2026'!AV66+'Budget Général CSBJ 2026'!AV63</f>
        <v>52599.81</v>
      </c>
      <c r="D7" s="10">
        <f>'Budget Général CSBJ 2026'!BB66</f>
        <v>30000</v>
      </c>
    </row>
    <row r="8" spans="1:4" ht="25.15" customHeight="1" thickBot="1" x14ac:dyDescent="0.25">
      <c r="A8" s="23" t="s">
        <v>27</v>
      </c>
      <c r="B8" s="11">
        <f>SUM(B3:B7)</f>
        <v>395760.8</v>
      </c>
      <c r="C8" s="11">
        <f>SUM(C3:C7)</f>
        <v>423199.54</v>
      </c>
      <c r="D8" s="11">
        <f>SUM(D3:D7)</f>
        <v>429200</v>
      </c>
    </row>
    <row r="9" spans="1:4" ht="25.15" customHeight="1" thickBot="1" x14ac:dyDescent="0.25">
      <c r="A9" s="18"/>
      <c r="B9" s="19" t="s">
        <v>26</v>
      </c>
      <c r="C9" s="19" t="s">
        <v>26</v>
      </c>
      <c r="D9" s="19" t="s">
        <v>5</v>
      </c>
    </row>
    <row r="10" spans="1:4" ht="25.15" customHeight="1" x14ac:dyDescent="0.2">
      <c r="A10" s="16" t="s">
        <v>4</v>
      </c>
      <c r="B10" s="17">
        <v>2024</v>
      </c>
      <c r="C10" s="17">
        <v>2025</v>
      </c>
      <c r="D10" s="17">
        <v>2026</v>
      </c>
    </row>
    <row r="11" spans="1:4" ht="25.15" customHeight="1" x14ac:dyDescent="0.2">
      <c r="A11" s="24" t="s">
        <v>31</v>
      </c>
      <c r="B11" s="6">
        <f>'Budget Général CSBJ 2026'!AN84</f>
        <v>67567.05</v>
      </c>
      <c r="C11" s="6">
        <f>'Budget Général CSBJ 2026'!AV84</f>
        <v>80220.02</v>
      </c>
      <c r="D11" s="6">
        <f>'Budget Général CSBJ 2026'!BB84</f>
        <v>87500</v>
      </c>
    </row>
    <row r="12" spans="1:4" ht="25.15" customHeight="1" x14ac:dyDescent="0.2">
      <c r="A12" s="24" t="s">
        <v>32</v>
      </c>
      <c r="B12" s="6">
        <f>'Budget Général CSBJ 2026'!AM86+'Budget Général CSBJ 2026'!AM88</f>
        <v>86620</v>
      </c>
      <c r="C12" s="6">
        <f>'Budget Général CSBJ 2026'!AU86+'Budget Général CSBJ 2026'!AU88+'Budget Général CSBJ 2026'!AU87</f>
        <v>74250</v>
      </c>
      <c r="D12" s="6">
        <f>'Budget Général CSBJ 2026'!BA86+'Budget Général CSBJ 2026'!BA88+'Budget Général CSBJ 2026'!BA87</f>
        <v>69000</v>
      </c>
    </row>
    <row r="13" spans="1:4" ht="25.15" customHeight="1" x14ac:dyDescent="0.2">
      <c r="A13" s="24" t="s">
        <v>35</v>
      </c>
      <c r="B13" s="6">
        <f>'Budget Général CSBJ 2026'!AM89+'Budget Général CSBJ 2026'!AM90+'Budget Général CSBJ 2026'!AM91+'Budget Général CSBJ 2026'!AM92</f>
        <v>78000</v>
      </c>
      <c r="C13" s="6">
        <f>'Budget Général CSBJ 2026'!AU89+'Budget Général CSBJ 2026'!AU90+'Budget Général CSBJ 2026'!AU91+'Budget Général CSBJ 2026'!AU92</f>
        <v>76000</v>
      </c>
      <c r="D13" s="6">
        <f>'Budget Général CSBJ 2026'!BA89+'Budget Général CSBJ 2026'!BA90+'Budget Général CSBJ 2026'!BA91+'Budget Général CSBJ 2026'!BA92</f>
        <v>79000</v>
      </c>
    </row>
    <row r="14" spans="1:4" ht="25.15" customHeight="1" x14ac:dyDescent="0.2">
      <c r="A14" s="24" t="s">
        <v>6</v>
      </c>
      <c r="B14" s="6">
        <f>'Budget Général CSBJ 2026'!AN103</f>
        <v>109234.44</v>
      </c>
      <c r="C14" s="6">
        <f>'Budget Général CSBJ 2026'!AV103</f>
        <v>123421.5</v>
      </c>
      <c r="D14" s="6">
        <f>'Budget Général CSBJ 2026'!BB103</f>
        <v>126500</v>
      </c>
    </row>
    <row r="15" spans="1:4" ht="25.15" customHeight="1" thickBot="1" x14ac:dyDescent="0.25">
      <c r="A15" s="25" t="s">
        <v>202</v>
      </c>
      <c r="B15" s="7">
        <f>'Budget Général CSBJ 2026'!AN109+'Budget Général CSBJ 2026'!AM94+'Budget Général CSBJ 2026'!AM93</f>
        <v>52462.21</v>
      </c>
      <c r="C15" s="7">
        <f>'Budget Général CSBJ 2026'!AV109+'Budget Général CSBJ 2026'!AU94+'Budget Général CSBJ 2026'!AU93+'Budget Général CSBJ 2026'!AU95</f>
        <v>75073.149999999994</v>
      </c>
      <c r="D15" s="7">
        <f>'Budget Général CSBJ 2026'!BB109+'Budget Général CSBJ 2026'!BA94+'Budget Général CSBJ 2026'!BA93+'Budget Général CSBJ 2026'!BA95</f>
        <v>67200</v>
      </c>
    </row>
    <row r="16" spans="1:4" ht="25.15" customHeight="1" thickBot="1" x14ac:dyDescent="0.25">
      <c r="A16" s="26" t="s">
        <v>21</v>
      </c>
      <c r="B16" s="4">
        <f>SUM(B11:B15)</f>
        <v>393883.7</v>
      </c>
      <c r="C16" s="4">
        <f>SUM(C11:C15)</f>
        <v>428964.67000000004</v>
      </c>
      <c r="D16" s="4">
        <f>SUM(D11:D15)</f>
        <v>429200</v>
      </c>
    </row>
    <row r="17" spans="1:4" ht="25.15" customHeight="1" thickBot="1" x14ac:dyDescent="0.25">
      <c r="A17" s="5" t="s">
        <v>33</v>
      </c>
      <c r="B17" s="27">
        <f>B16-B8</f>
        <v>-1877.0999999999767</v>
      </c>
      <c r="C17" s="27">
        <f>C16-C8</f>
        <v>5765.1300000000629</v>
      </c>
      <c r="D17" s="27">
        <f>D16-D8</f>
        <v>0</v>
      </c>
    </row>
    <row r="18" spans="1:4" ht="25.15" customHeight="1" x14ac:dyDescent="0.2"/>
    <row r="19" spans="1:4" ht="12.75" x14ac:dyDescent="0.2">
      <c r="A19"/>
    </row>
    <row r="20" spans="1:4" ht="12.75" x14ac:dyDescent="0.2">
      <c r="A20"/>
    </row>
  </sheetData>
  <pageMargins left="0.70866141732283472" right="0.70866141732283472" top="0.74803149606299213" bottom="0.74803149606299213" header="0.31496062992125984" footer="0.31496062992125984"/>
  <pageSetup paperSize="9" scale="87" orientation="portrait" r:id="rId1"/>
  <ignoredErrors>
    <ignoredError sqref="B16 B8" formulaRange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2B4FFB-FC45-4DAB-B1D2-7C36C24D1FF1}">
  <dimension ref="A1:F14"/>
  <sheetViews>
    <sheetView tabSelected="1" workbookViewId="0">
      <selection activeCell="G11" sqref="G11"/>
    </sheetView>
  </sheetViews>
  <sheetFormatPr baseColWidth="10" defaultRowHeight="12.75" x14ac:dyDescent="0.2"/>
  <cols>
    <col min="1" max="1" width="27.6640625" bestFit="1" customWidth="1"/>
    <col min="2" max="2" width="14.6640625" customWidth="1"/>
  </cols>
  <sheetData>
    <row r="1" spans="1:6" ht="14.25" x14ac:dyDescent="0.2">
      <c r="A1" s="29" t="s">
        <v>38</v>
      </c>
      <c r="B1" s="1" t="s">
        <v>42</v>
      </c>
      <c r="C1" s="1" t="s">
        <v>41</v>
      </c>
      <c r="D1" s="1" t="s">
        <v>39</v>
      </c>
      <c r="E1" s="1" t="s">
        <v>36</v>
      </c>
      <c r="F1" s="1" t="s">
        <v>40</v>
      </c>
    </row>
    <row r="2" spans="1:6" x14ac:dyDescent="0.2">
      <c r="A2" s="28"/>
      <c r="B2" s="30"/>
      <c r="C2" s="30"/>
      <c r="D2" s="30"/>
      <c r="E2" s="30"/>
      <c r="F2" s="30"/>
    </row>
    <row r="3" spans="1:6" ht="13.5" thickBot="1" x14ac:dyDescent="0.25">
      <c r="A3" s="28"/>
      <c r="B3" s="30"/>
      <c r="C3" s="30"/>
      <c r="D3" s="30"/>
      <c r="E3" s="30"/>
      <c r="F3" s="30"/>
    </row>
    <row r="4" spans="1:6" ht="13.5" thickBot="1" x14ac:dyDescent="0.25">
      <c r="A4" s="183" t="s">
        <v>97</v>
      </c>
      <c r="B4" s="184">
        <v>176</v>
      </c>
      <c r="C4" s="184">
        <v>176</v>
      </c>
      <c r="D4" s="184">
        <v>97</v>
      </c>
      <c r="E4" s="184">
        <v>96</v>
      </c>
      <c r="F4" s="185">
        <v>71</v>
      </c>
    </row>
    <row r="5" spans="1:6" x14ac:dyDescent="0.2">
      <c r="A5" s="176" t="s">
        <v>94</v>
      </c>
      <c r="B5" s="170">
        <v>20</v>
      </c>
      <c r="C5" s="170">
        <v>22</v>
      </c>
      <c r="D5" s="170">
        <v>0</v>
      </c>
      <c r="E5" s="170">
        <v>6</v>
      </c>
      <c r="F5" s="171">
        <v>2</v>
      </c>
    </row>
    <row r="6" spans="1:6" x14ac:dyDescent="0.2">
      <c r="A6" s="177" t="s">
        <v>93</v>
      </c>
      <c r="B6" s="31">
        <v>34</v>
      </c>
      <c r="C6" s="31">
        <v>23.5</v>
      </c>
      <c r="D6" s="31">
        <v>9</v>
      </c>
      <c r="E6" s="31">
        <v>10</v>
      </c>
      <c r="F6" s="182">
        <v>8</v>
      </c>
    </row>
    <row r="7" spans="1:6" ht="13.5" thickBot="1" x14ac:dyDescent="0.25">
      <c r="A7" s="178" t="s">
        <v>43</v>
      </c>
      <c r="B7" s="168">
        <v>36</v>
      </c>
      <c r="C7" s="168">
        <v>36</v>
      </c>
      <c r="D7" s="168">
        <v>36</v>
      </c>
      <c r="E7" s="168">
        <v>36</v>
      </c>
      <c r="F7" s="169">
        <v>36</v>
      </c>
    </row>
    <row r="8" spans="1:6" ht="13.5" thickBot="1" x14ac:dyDescent="0.25">
      <c r="B8" s="186">
        <f>SUM(B5:B7)</f>
        <v>90</v>
      </c>
      <c r="C8" s="187">
        <f>SUM(C5:C7)</f>
        <v>81.5</v>
      </c>
      <c r="D8" s="187">
        <f>SUM(D5:D7)</f>
        <v>45</v>
      </c>
      <c r="E8" s="187">
        <f>SUM(E5:E7)</f>
        <v>52</v>
      </c>
      <c r="F8" s="188">
        <f>SUM(F5:F7)</f>
        <v>46</v>
      </c>
    </row>
    <row r="9" spans="1:6" ht="13.5" thickBot="1" x14ac:dyDescent="0.25"/>
    <row r="10" spans="1:6" x14ac:dyDescent="0.2">
      <c r="A10" s="181" t="s">
        <v>44</v>
      </c>
      <c r="B10" s="189">
        <v>176</v>
      </c>
      <c r="C10" s="189">
        <v>176</v>
      </c>
      <c r="D10" s="189">
        <v>97</v>
      </c>
      <c r="E10" s="189">
        <v>96</v>
      </c>
      <c r="F10" s="190">
        <v>71</v>
      </c>
    </row>
    <row r="11" spans="1:6" ht="13.5" thickBot="1" x14ac:dyDescent="0.25">
      <c r="A11" s="179" t="s">
        <v>95</v>
      </c>
      <c r="B11" s="172" t="s">
        <v>46</v>
      </c>
      <c r="C11" s="172" t="s">
        <v>46</v>
      </c>
      <c r="D11" s="172">
        <v>0</v>
      </c>
      <c r="E11" s="2">
        <v>0</v>
      </c>
      <c r="F11" s="173">
        <v>0</v>
      </c>
    </row>
    <row r="12" spans="1:6" ht="13.5" thickBot="1" x14ac:dyDescent="0.25">
      <c r="B12" s="32"/>
      <c r="C12" s="32"/>
      <c r="D12" s="32"/>
      <c r="E12" s="32"/>
      <c r="F12" s="32"/>
    </row>
    <row r="13" spans="1:6" x14ac:dyDescent="0.2">
      <c r="A13" s="176" t="s">
        <v>45</v>
      </c>
      <c r="B13" s="174">
        <f>B10-B8</f>
        <v>86</v>
      </c>
      <c r="C13" s="174">
        <f>C10-C8</f>
        <v>94.5</v>
      </c>
      <c r="D13" s="174">
        <f>D10-D8</f>
        <v>52</v>
      </c>
      <c r="E13" s="174">
        <f>E10-E8</f>
        <v>44</v>
      </c>
      <c r="F13" s="175">
        <f>F10-F8</f>
        <v>25</v>
      </c>
    </row>
    <row r="14" spans="1:6" ht="13.5" thickBot="1" x14ac:dyDescent="0.25">
      <c r="A14" s="180" t="s">
        <v>96</v>
      </c>
      <c r="B14" s="172" t="s">
        <v>46</v>
      </c>
      <c r="C14" s="172" t="s">
        <v>46</v>
      </c>
      <c r="D14" s="172">
        <v>0</v>
      </c>
      <c r="E14" s="2">
        <v>0</v>
      </c>
      <c r="F14" s="173">
        <v>0</v>
      </c>
    </row>
  </sheetData>
  <phoneticPr fontId="28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3</vt:i4>
      </vt:variant>
    </vt:vector>
  </HeadingPairs>
  <TitlesOfParts>
    <vt:vector size="7" baseType="lpstr">
      <vt:lpstr>Budget Général CSBJ 2026</vt:lpstr>
      <vt:lpstr>Trésorerie 2026</vt:lpstr>
      <vt:lpstr>RECAP AG</vt:lpstr>
      <vt:lpstr>Tableau Cotisation 2025-2026</vt:lpstr>
      <vt:lpstr>'Budget Général CSBJ 2026'!Zone_d_impression</vt:lpstr>
      <vt:lpstr>'RECAP AG'!Zone_d_impression</vt:lpstr>
      <vt:lpstr>'Trésorerie 2026'!Zone_d_impression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BILAN 2018 CNDS2019.xlsx</dc:title>
  <dc:creator>DUPENT GILLES</dc:creator>
  <cp:lastModifiedBy>CSBJ Athlétisme</cp:lastModifiedBy>
  <cp:lastPrinted>2026-03-11T14:40:07Z</cp:lastPrinted>
  <dcterms:created xsi:type="dcterms:W3CDTF">2019-11-29T10:18:01Z</dcterms:created>
  <dcterms:modified xsi:type="dcterms:W3CDTF">2026-03-20T14:02:19Z</dcterms:modified>
</cp:coreProperties>
</file>